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3.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9"/>
  <workbookPr defaultThemeVersion="166925"/>
  <mc:AlternateContent xmlns:mc="http://schemas.openxmlformats.org/markup-compatibility/2006">
    <mc:Choice Requires="x15">
      <x15ac:absPath xmlns:x15ac="http://schemas.microsoft.com/office/spreadsheetml/2010/11/ac" url="C:\Users\naomi\Documents\Amiomio\1.2 MFA\"/>
    </mc:Choice>
  </mc:AlternateContent>
  <xr:revisionPtr revIDLastSave="0" documentId="8_{1A500817-2C6C-4B8E-BD72-72175894CB8C}" xr6:coauthVersionLast="36" xr6:coauthVersionMax="36" xr10:uidLastSave="{00000000-0000-0000-0000-000000000000}"/>
  <bookViews>
    <workbookView xWindow="0" yWindow="0" windowWidth="19200" windowHeight="8250" xr2:uid="{0FBF1360-4487-48A4-81E1-5F3A15E99177}"/>
  </bookViews>
  <sheets>
    <sheet name="Summary" sheetId="1" r:id="rId1"/>
    <sheet name="Material Input" sheetId="4" r:id="rId2"/>
    <sheet name="Construction" sheetId="5" r:id="rId3"/>
    <sheet name="Material Mass Calc." sheetId="9" r:id="rId4"/>
    <sheet name="Demolition" sheetId="6" r:id="rId5"/>
    <sheet name="Material Output" sheetId="8" r:id="rId6"/>
    <sheet name="Building Consents" sheetId="10" r:id="rId7"/>
    <sheet name="Commercial consent detail" sheetId="11" r:id="rId8"/>
  </sheets>
  <externalReferences>
    <externalReference r:id="rId9"/>
  </externalReferences>
  <definedNames>
    <definedName name="_xlnm._FilterDatabase" localSheetId="5" hidden="1">'Material Output'!$B$26:$D$34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AMBDA_WF"/>
        <xcalcf:feature name="microsoft.com:LET_WF"/>
      </xcalcf:calcFeatures>
    </ext>
  </extLst>
</workbook>
</file>

<file path=xl/calcChain.xml><?xml version="1.0" encoding="utf-8"?>
<calcChain xmlns="http://schemas.openxmlformats.org/spreadsheetml/2006/main">
  <c r="T59" i="4" l="1"/>
  <c r="I59" i="4"/>
  <c r="M59" i="4"/>
  <c r="O59" i="4"/>
  <c r="J58" i="4"/>
  <c r="E59" i="4"/>
  <c r="S17" i="4"/>
  <c r="S16" i="4"/>
  <c r="S15" i="4"/>
  <c r="S14" i="4"/>
  <c r="S13" i="4"/>
  <c r="S12" i="4"/>
  <c r="S11" i="4"/>
  <c r="Q17" i="4"/>
  <c r="Q16" i="4"/>
  <c r="Q15" i="4"/>
  <c r="Q14" i="4"/>
  <c r="Q13" i="4"/>
  <c r="Q12" i="4"/>
  <c r="Q11" i="4"/>
  <c r="A4" i="6"/>
  <c r="U11" i="4"/>
  <c r="U12" i="4"/>
  <c r="U13" i="4"/>
  <c r="U14" i="4"/>
  <c r="U15" i="4"/>
  <c r="U16" i="4"/>
  <c r="O14" i="4"/>
  <c r="M14" i="4"/>
  <c r="U17" i="4"/>
  <c r="O11" i="4"/>
  <c r="O12" i="4"/>
  <c r="O13" i="4"/>
  <c r="M13" i="4"/>
  <c r="O15" i="4"/>
  <c r="O16" i="4"/>
  <c r="M16" i="4"/>
  <c r="O17" i="4"/>
  <c r="M11" i="4"/>
  <c r="M12" i="4"/>
  <c r="M15" i="4"/>
  <c r="M17" i="4"/>
  <c r="K17" i="4"/>
  <c r="K16" i="4"/>
  <c r="K15" i="4"/>
  <c r="K14" i="4"/>
  <c r="K13" i="4"/>
  <c r="K12" i="4"/>
  <c r="K11" i="4"/>
  <c r="I17" i="4"/>
  <c r="I16" i="4"/>
  <c r="I15" i="4"/>
  <c r="I14" i="4"/>
  <c r="I13" i="4"/>
  <c r="I12" i="4"/>
  <c r="I11" i="4"/>
  <c r="G11" i="4"/>
  <c r="G12" i="4"/>
  <c r="G13" i="4"/>
  <c r="G14" i="4"/>
  <c r="G15" i="4"/>
  <c r="G16" i="4"/>
  <c r="G17" i="4"/>
  <c r="E90" i="8"/>
  <c r="C66" i="8"/>
  <c r="C65" i="8"/>
  <c r="C64" i="8"/>
  <c r="C63" i="8"/>
  <c r="C62" i="8"/>
  <c r="C61" i="8"/>
  <c r="C60" i="8"/>
  <c r="C59" i="8"/>
  <c r="C58" i="8"/>
  <c r="C57" i="8"/>
  <c r="E140" i="5"/>
  <c r="F140" i="5"/>
  <c r="G140" i="5"/>
  <c r="H140" i="5"/>
  <c r="I140" i="5"/>
  <c r="J140" i="5"/>
  <c r="K140" i="5"/>
  <c r="M103" i="8"/>
  <c r="F5" i="6"/>
  <c r="H76" i="4"/>
  <c r="H77" i="4"/>
  <c r="H78" i="4"/>
  <c r="H79" i="4"/>
  <c r="H80" i="4"/>
  <c r="H81" i="4"/>
  <c r="H82" i="4"/>
  <c r="H83" i="4"/>
  <c r="H84" i="4"/>
  <c r="H85" i="4"/>
  <c r="H86" i="4"/>
  <c r="H87" i="4"/>
  <c r="H88" i="4"/>
  <c r="H89" i="4"/>
  <c r="H90" i="4"/>
  <c r="H91" i="4"/>
  <c r="H92" i="4"/>
  <c r="H93" i="4"/>
  <c r="H94" i="4"/>
  <c r="H95" i="4"/>
  <c r="H96" i="4"/>
  <c r="H97" i="4"/>
  <c r="H98" i="4"/>
  <c r="H99" i="4"/>
  <c r="H100" i="4"/>
  <c r="H101" i="4"/>
  <c r="H102" i="4"/>
  <c r="H103" i="4"/>
  <c r="H104" i="4"/>
  <c r="H75" i="4"/>
  <c r="BG68" i="10"/>
  <c r="BG66" i="10"/>
  <c r="BF70" i="10"/>
  <c r="BE70" i="10"/>
  <c r="BF66" i="10"/>
  <c r="BE66" i="10"/>
  <c r="BG70" i="10"/>
  <c r="BE71" i="10" s="1"/>
  <c r="BE69" i="10"/>
  <c r="BF68" i="10"/>
  <c r="N29" i="5"/>
  <c r="N30" i="5"/>
  <c r="N31" i="5"/>
  <c r="N32" i="5"/>
  <c r="N33" i="5"/>
  <c r="N34" i="5"/>
  <c r="N35" i="5"/>
  <c r="N36" i="5"/>
  <c r="N37" i="5"/>
  <c r="N38" i="5"/>
  <c r="N39" i="5"/>
  <c r="P29" i="5"/>
  <c r="P30" i="5"/>
  <c r="P31" i="5"/>
  <c r="P32" i="5"/>
  <c r="P33" i="5"/>
  <c r="P34" i="5"/>
  <c r="P35" i="5"/>
  <c r="P36" i="5"/>
  <c r="P37" i="5"/>
  <c r="P38" i="5"/>
  <c r="P39" i="5"/>
  <c r="R29" i="5"/>
  <c r="S29" i="5" s="1"/>
  <c r="R30" i="5"/>
  <c r="S30" i="5" s="1"/>
  <c r="R31" i="5"/>
  <c r="S31" i="5" s="1"/>
  <c r="R32" i="5"/>
  <c r="S32" i="5" s="1"/>
  <c r="R33" i="5"/>
  <c r="S33" i="5" s="1"/>
  <c r="R34" i="5"/>
  <c r="S34" i="5" s="1"/>
  <c r="R35" i="5"/>
  <c r="S35" i="5" s="1"/>
  <c r="R36" i="5"/>
  <c r="S36" i="5" s="1"/>
  <c r="R37" i="5"/>
  <c r="S37" i="5" s="1"/>
  <c r="R38" i="5"/>
  <c r="S38" i="5" s="1"/>
  <c r="R39" i="5"/>
  <c r="S39" i="5" s="1"/>
  <c r="L32" i="5"/>
  <c r="L33" i="5"/>
  <c r="L34" i="5"/>
  <c r="L35" i="5"/>
  <c r="L36" i="5"/>
  <c r="L37" i="5"/>
  <c r="L38" i="5"/>
  <c r="L39" i="5"/>
  <c r="J29" i="5"/>
  <c r="J30" i="5"/>
  <c r="J31" i="5"/>
  <c r="J32" i="5"/>
  <c r="J33" i="5"/>
  <c r="J34" i="5"/>
  <c r="J35" i="5"/>
  <c r="J36" i="5"/>
  <c r="J37" i="5"/>
  <c r="J38" i="5"/>
  <c r="J39" i="5"/>
  <c r="J40" i="5"/>
  <c r="G29" i="5"/>
  <c r="H29" i="5" s="1"/>
  <c r="G30" i="5"/>
  <c r="H30" i="5" s="1"/>
  <c r="G31" i="5"/>
  <c r="H31" i="5" s="1"/>
  <c r="G32" i="5"/>
  <c r="H32" i="5" s="1"/>
  <c r="G33" i="5"/>
  <c r="H33" i="5" s="1"/>
  <c r="G34" i="5"/>
  <c r="H34" i="5" s="1"/>
  <c r="G35" i="5"/>
  <c r="G36" i="5"/>
  <c r="H36" i="5" s="1"/>
  <c r="G37" i="5"/>
  <c r="H37" i="5" s="1"/>
  <c r="G38" i="5"/>
  <c r="H38" i="5" s="1"/>
  <c r="H35" i="5"/>
  <c r="G39" i="5"/>
  <c r="H39" i="5" s="1"/>
  <c r="E29" i="5"/>
  <c r="E30" i="5"/>
  <c r="E31" i="5"/>
  <c r="E36" i="5"/>
  <c r="E32" i="5"/>
  <c r="E33" i="5"/>
  <c r="E34" i="5"/>
  <c r="E35" i="5"/>
  <c r="E37" i="5"/>
  <c r="E38" i="5"/>
  <c r="E39" i="5"/>
  <c r="G40" i="5"/>
  <c r="H40" i="5" s="1"/>
  <c r="G41" i="5"/>
  <c r="H41" i="5" s="1"/>
  <c r="G42" i="5"/>
  <c r="H42" i="5" s="1"/>
  <c r="G43" i="5"/>
  <c r="H43" i="5" s="1"/>
  <c r="G44" i="5"/>
  <c r="H44" i="5" s="1"/>
  <c r="G45" i="5"/>
  <c r="H45" i="5" s="1"/>
  <c r="G46" i="5"/>
  <c r="H46" i="5" s="1"/>
  <c r="G50" i="5"/>
  <c r="H50" i="5" s="1"/>
  <c r="G51" i="5"/>
  <c r="H51" i="5" s="1"/>
  <c r="G47" i="5"/>
  <c r="H47" i="5" s="1"/>
  <c r="G48" i="5"/>
  <c r="H48" i="5" s="1"/>
  <c r="G49" i="5"/>
  <c r="H49" i="5" s="1"/>
  <c r="E27" i="8"/>
  <c r="C35" i="8"/>
  <c r="E28" i="8"/>
  <c r="E29" i="8"/>
  <c r="E30" i="8"/>
  <c r="E31" i="8"/>
  <c r="E32" i="8"/>
  <c r="E33" i="8"/>
  <c r="E34" i="8"/>
  <c r="D34" i="8"/>
  <c r="D28" i="8"/>
  <c r="D29" i="8"/>
  <c r="D30" i="8"/>
  <c r="D31" i="8"/>
  <c r="D32" i="8"/>
  <c r="D33" i="8"/>
  <c r="D27" i="8"/>
  <c r="BF69" i="10" l="1"/>
  <c r="E35" i="8"/>
  <c r="F27" i="8" s="1"/>
  <c r="D35" i="8"/>
  <c r="F86" i="8"/>
  <c r="F81" i="8"/>
  <c r="F85" i="8"/>
  <c r="F79" i="8"/>
  <c r="F83" i="8"/>
  <c r="F80" i="8"/>
  <c r="F82" i="8"/>
  <c r="F78" i="8"/>
  <c r="F84" i="8"/>
  <c r="F87" i="8"/>
  <c r="BF71" i="10"/>
  <c r="F34" i="8"/>
  <c r="F30" i="8"/>
  <c r="F32" i="8"/>
  <c r="F28" i="8"/>
  <c r="E17" i="4"/>
  <c r="C17" i="4"/>
  <c r="E16" i="4"/>
  <c r="C16" i="4"/>
  <c r="E15" i="4"/>
  <c r="C15" i="4"/>
  <c r="E14" i="4"/>
  <c r="C14" i="4"/>
  <c r="E13" i="4"/>
  <c r="C13" i="4"/>
  <c r="E12" i="4"/>
  <c r="C12" i="4"/>
  <c r="C11" i="4"/>
  <c r="G72" i="8"/>
  <c r="Q83" i="5"/>
  <c r="Q113" i="5"/>
  <c r="Q117" i="5"/>
  <c r="Q115" i="5"/>
  <c r="Q109" i="5"/>
  <c r="Q107" i="5"/>
  <c r="Q99" i="5"/>
  <c r="Q93" i="5"/>
  <c r="Q92" i="5"/>
  <c r="Q91" i="5"/>
  <c r="Q89" i="5"/>
  <c r="Q88" i="5"/>
  <c r="Q114" i="5"/>
  <c r="Q106" i="5"/>
  <c r="K99" i="5"/>
  <c r="B93" i="5"/>
  <c r="Q87" i="5"/>
  <c r="Q85" i="5"/>
  <c r="Q84" i="5"/>
  <c r="Q79" i="5"/>
  <c r="Q77" i="5"/>
  <c r="Q76" i="5"/>
  <c r="Q69" i="5"/>
  <c r="K69" i="5"/>
  <c r="Q63" i="5"/>
  <c r="Q95" i="5" s="1"/>
  <c r="B63" i="5"/>
  <c r="Q62" i="5"/>
  <c r="Q61" i="5"/>
  <c r="Q104" i="5" s="1"/>
  <c r="Q59" i="5"/>
  <c r="Q58" i="5"/>
  <c r="Q51" i="5"/>
  <c r="P51" i="5"/>
  <c r="Q111" i="5" s="1"/>
  <c r="N51" i="5"/>
  <c r="L51" i="5"/>
  <c r="Q98" i="5" s="1"/>
  <c r="J51" i="5"/>
  <c r="Q70" i="5" s="1"/>
  <c r="Q50" i="5"/>
  <c r="P50" i="5"/>
  <c r="N50" i="5"/>
  <c r="L50" i="5"/>
  <c r="J50" i="5"/>
  <c r="Q49" i="5"/>
  <c r="P49" i="5"/>
  <c r="N49" i="5"/>
  <c r="L49" i="5"/>
  <c r="J49" i="5"/>
  <c r="Q48" i="5"/>
  <c r="P48" i="5"/>
  <c r="N48" i="5"/>
  <c r="L48" i="5"/>
  <c r="J48" i="5"/>
  <c r="R47" i="5"/>
  <c r="Q47" i="5" s="1"/>
  <c r="P47" i="5"/>
  <c r="N47" i="5"/>
  <c r="L47" i="5"/>
  <c r="J47" i="5"/>
  <c r="R46" i="5"/>
  <c r="Q46" i="5" s="1"/>
  <c r="P46" i="5"/>
  <c r="N46" i="5"/>
  <c r="L46" i="5"/>
  <c r="J46" i="5"/>
  <c r="R45" i="5"/>
  <c r="Q45" i="5" s="1"/>
  <c r="P45" i="5"/>
  <c r="N45" i="5"/>
  <c r="L45" i="5"/>
  <c r="J45" i="5"/>
  <c r="R44" i="5"/>
  <c r="Q44" i="5" s="1"/>
  <c r="P44" i="5"/>
  <c r="N44" i="5"/>
  <c r="L44" i="5"/>
  <c r="J44" i="5"/>
  <c r="R43" i="5"/>
  <c r="Q43" i="5" s="1"/>
  <c r="P43" i="5"/>
  <c r="N43" i="5"/>
  <c r="L43" i="5"/>
  <c r="J43" i="5"/>
  <c r="R42" i="5"/>
  <c r="Q42" i="5" s="1"/>
  <c r="P42" i="5"/>
  <c r="N42" i="5"/>
  <c r="L42" i="5"/>
  <c r="J42" i="5"/>
  <c r="R41" i="5"/>
  <c r="Q41" i="5" s="1"/>
  <c r="P41" i="5"/>
  <c r="N41" i="5"/>
  <c r="L41" i="5"/>
  <c r="J41" i="5"/>
  <c r="R40" i="5"/>
  <c r="Q40" i="5" s="1"/>
  <c r="P40" i="5"/>
  <c r="N40" i="5"/>
  <c r="L40" i="5"/>
  <c r="L31" i="5"/>
  <c r="L30" i="5"/>
  <c r="L29" i="5"/>
  <c r="L20" i="5"/>
  <c r="K20" i="5"/>
  <c r="J20" i="5"/>
  <c r="I20" i="5"/>
  <c r="H20" i="5"/>
  <c r="G20" i="5"/>
  <c r="F20" i="5"/>
  <c r="L18" i="5"/>
  <c r="K18" i="5"/>
  <c r="J18" i="5"/>
  <c r="I18" i="5"/>
  <c r="H18" i="5"/>
  <c r="G18" i="5"/>
  <c r="F18" i="5"/>
  <c r="L16" i="5"/>
  <c r="K16" i="5"/>
  <c r="J16" i="5"/>
  <c r="I16" i="5"/>
  <c r="H16" i="5"/>
  <c r="G16" i="5"/>
  <c r="F16" i="5"/>
  <c r="L13" i="5"/>
  <c r="K13" i="5"/>
  <c r="J13" i="5"/>
  <c r="I13" i="5"/>
  <c r="H13" i="5"/>
  <c r="G13" i="5"/>
  <c r="F13" i="5"/>
  <c r="E52" i="9"/>
  <c r="K80" i="5" s="1"/>
  <c r="K110" i="5" s="1"/>
  <c r="D52" i="9"/>
  <c r="M80" i="5" s="1"/>
  <c r="M110" i="5" s="1"/>
  <c r="E47" i="9"/>
  <c r="K82" i="5" s="1"/>
  <c r="K112" i="5" s="1"/>
  <c r="D47" i="9"/>
  <c r="M82" i="5" s="1"/>
  <c r="M112" i="5" s="1"/>
  <c r="E42" i="9"/>
  <c r="K81" i="5" s="1"/>
  <c r="K111" i="5" s="1"/>
  <c r="D42" i="9"/>
  <c r="M81" i="5" s="1"/>
  <c r="M111" i="5" s="1"/>
  <c r="AD40" i="9"/>
  <c r="AI40" i="9" s="1"/>
  <c r="Y25" i="9"/>
  <c r="Y27" i="9" s="1"/>
  <c r="AD39" i="9"/>
  <c r="AI39" i="9" s="1"/>
  <c r="AD38" i="9"/>
  <c r="AI38" i="9" s="1"/>
  <c r="AD37" i="9"/>
  <c r="AI37" i="9" s="1"/>
  <c r="O7" i="9"/>
  <c r="AI18" i="9"/>
  <c r="AI17" i="9"/>
  <c r="AI16" i="9"/>
  <c r="AI15" i="9"/>
  <c r="T60" i="9"/>
  <c r="T65" i="9" s="1"/>
  <c r="T55" i="9"/>
  <c r="T56" i="9" s="1"/>
  <c r="T50" i="9"/>
  <c r="T51" i="9" s="1"/>
  <c r="T44" i="9"/>
  <c r="T42" i="9"/>
  <c r="J35" i="9"/>
  <c r="I35" i="9"/>
  <c r="F35" i="9"/>
  <c r="E35" i="9"/>
  <c r="F30" i="9"/>
  <c r="E30" i="9"/>
  <c r="T23" i="9"/>
  <c r="T28" i="9" s="1"/>
  <c r="AD18" i="9"/>
  <c r="AD17" i="9"/>
  <c r="T18" i="9"/>
  <c r="T19" i="9" s="1"/>
  <c r="AD16" i="9"/>
  <c r="O16" i="9"/>
  <c r="J16" i="9"/>
  <c r="E16" i="9"/>
  <c r="AD15" i="9"/>
  <c r="J13" i="9"/>
  <c r="E13" i="9"/>
  <c r="T13" i="9"/>
  <c r="T14" i="9" s="1"/>
  <c r="J12" i="9"/>
  <c r="E12" i="9"/>
  <c r="J11" i="9"/>
  <c r="E11" i="9"/>
  <c r="O8" i="9"/>
  <c r="O11" i="9" s="1"/>
  <c r="T7" i="9"/>
  <c r="Y6" i="9"/>
  <c r="Y16" i="9" s="1"/>
  <c r="T5" i="9"/>
  <c r="F29" i="8" l="1"/>
  <c r="F31" i="8"/>
  <c r="F33" i="8"/>
  <c r="I19" i="5"/>
  <c r="G69" i="8"/>
  <c r="B90" i="8" s="1"/>
  <c r="B61" i="5"/>
  <c r="J80" i="5" s="1"/>
  <c r="O80" i="5" s="1"/>
  <c r="P80" i="5" s="1"/>
  <c r="G19" i="5"/>
  <c r="J19" i="5"/>
  <c r="K19" i="5"/>
  <c r="F19" i="5"/>
  <c r="Q100" i="5"/>
  <c r="Q108" i="5"/>
  <c r="Q90" i="5"/>
  <c r="Q103" i="5"/>
  <c r="Q105" i="5"/>
  <c r="Q110" i="5"/>
  <c r="Q68" i="5"/>
  <c r="B91" i="5"/>
  <c r="AI25" i="9" s="1"/>
  <c r="AI27" i="9" s="1"/>
  <c r="AI28" i="9" s="1"/>
  <c r="Q74" i="5"/>
  <c r="L19" i="5"/>
  <c r="Q81" i="5"/>
  <c r="H19" i="5"/>
  <c r="Q72" i="5"/>
  <c r="Q102" i="5"/>
  <c r="Q73" i="5"/>
  <c r="Q75" i="5"/>
  <c r="Q80" i="5"/>
  <c r="Q65" i="5"/>
  <c r="Q78" i="5"/>
  <c r="Q60" i="5"/>
  <c r="T72" i="9"/>
  <c r="Y31" i="9"/>
  <c r="Y34" i="9" s="1"/>
  <c r="T35" i="9"/>
  <c r="T69" i="9"/>
  <c r="O12" i="9"/>
  <c r="O13" i="9"/>
  <c r="J14" i="9"/>
  <c r="J17" i="9" s="1"/>
  <c r="J19" i="9" s="1"/>
  <c r="Y17" i="9"/>
  <c r="Y18" i="9" s="1"/>
  <c r="M98" i="5" s="1"/>
  <c r="Y35" i="9"/>
  <c r="E14" i="9"/>
  <c r="E17" i="9" s="1"/>
  <c r="E19" i="9" s="1"/>
  <c r="M63" i="5" s="1"/>
  <c r="M93" i="5" s="1"/>
  <c r="T32" i="9"/>
  <c r="M64" i="5" l="1"/>
  <c r="M94" i="5" s="1"/>
  <c r="G21" i="9"/>
  <c r="R80" i="5"/>
  <c r="Y36" i="9"/>
  <c r="T9" i="9"/>
  <c r="T26" i="9" s="1"/>
  <c r="T27" i="9" s="1"/>
  <c r="T29" i="9" s="1"/>
  <c r="T31" i="9" s="1"/>
  <c r="T33" i="9" s="1"/>
  <c r="O67" i="5" s="1"/>
  <c r="P67" i="5" s="1"/>
  <c r="J78" i="5"/>
  <c r="O78" i="5" s="1"/>
  <c r="P78" i="5" s="1"/>
  <c r="J76" i="5"/>
  <c r="O76" i="5" s="1"/>
  <c r="P76" i="5" s="1"/>
  <c r="R76" i="5" s="1"/>
  <c r="AD25" i="9"/>
  <c r="AD27" i="9" s="1"/>
  <c r="AD28" i="9" s="1"/>
  <c r="J66" i="5"/>
  <c r="O66" i="5" s="1"/>
  <c r="P66" i="5" s="1"/>
  <c r="J82" i="5"/>
  <c r="O82" i="5" s="1"/>
  <c r="P82" i="5" s="1"/>
  <c r="AD3" i="9"/>
  <c r="AD5" i="9" s="1"/>
  <c r="AD6" i="9" s="1"/>
  <c r="J64" i="5"/>
  <c r="J71" i="5" s="1"/>
  <c r="J61" i="5"/>
  <c r="J74" i="5" s="1"/>
  <c r="O74" i="5" s="1"/>
  <c r="P74" i="5" s="1"/>
  <c r="R74" i="5" s="1"/>
  <c r="J63" i="5"/>
  <c r="O63" i="5" s="1"/>
  <c r="P63" i="5" s="1"/>
  <c r="J83" i="5"/>
  <c r="O83" i="5" s="1"/>
  <c r="P83" i="5" s="1"/>
  <c r="R83" i="5" s="1"/>
  <c r="S83" i="5" s="1"/>
  <c r="J68" i="5"/>
  <c r="O68" i="5" s="1"/>
  <c r="P68" i="5" s="1"/>
  <c r="R68" i="5" s="1"/>
  <c r="J58" i="5"/>
  <c r="J77" i="5" s="1"/>
  <c r="O77" i="5" s="1"/>
  <c r="P77" i="5" s="1"/>
  <c r="R77" i="5" s="1"/>
  <c r="J85" i="5"/>
  <c r="O85" i="5" s="1"/>
  <c r="P85" i="5" s="1"/>
  <c r="J91" i="5"/>
  <c r="O91" i="5" s="1"/>
  <c r="P91" i="5" s="1"/>
  <c r="R91" i="5" s="1"/>
  <c r="J94" i="5"/>
  <c r="O94" i="5" s="1"/>
  <c r="P94" i="5" s="1"/>
  <c r="J93" i="5"/>
  <c r="O93" i="5" s="1"/>
  <c r="P93" i="5" s="1"/>
  <c r="J108" i="5"/>
  <c r="J110" i="5"/>
  <c r="O110" i="5" s="1"/>
  <c r="P110" i="5" s="1"/>
  <c r="R110" i="5" s="1"/>
  <c r="T46" i="9"/>
  <c r="T63" i="9" s="1"/>
  <c r="T64" i="9" s="1"/>
  <c r="T66" i="9" s="1"/>
  <c r="T68" i="9" s="1"/>
  <c r="T70" i="9" s="1"/>
  <c r="O97" i="5" s="1"/>
  <c r="P97" i="5" s="1"/>
  <c r="J96" i="5"/>
  <c r="J105" i="5" s="1"/>
  <c r="O105" i="5" s="1"/>
  <c r="P105" i="5" s="1"/>
  <c r="R105" i="5" s="1"/>
  <c r="J113" i="5"/>
  <c r="O113" i="5" s="1"/>
  <c r="P113" i="5" s="1"/>
  <c r="R113" i="5" s="1"/>
  <c r="J112" i="5"/>
  <c r="O112" i="5" s="1"/>
  <c r="P112" i="5" s="1"/>
  <c r="AI3" i="9"/>
  <c r="AI5" i="9" s="1"/>
  <c r="AI6" i="9" s="1"/>
  <c r="J88" i="5"/>
  <c r="J107" i="5" s="1"/>
  <c r="O107" i="5" s="1"/>
  <c r="P107" i="5" s="1"/>
  <c r="R107" i="5" s="1"/>
  <c r="Q97" i="5"/>
  <c r="Q96" i="5"/>
  <c r="Q67" i="5"/>
  <c r="Q66" i="5"/>
  <c r="V19" i="9"/>
  <c r="AI29" i="9"/>
  <c r="AI31" i="9" s="1"/>
  <c r="AI42" i="9" s="1"/>
  <c r="AI43" i="9" s="1"/>
  <c r="O102" i="5" s="1"/>
  <c r="P102" i="5" s="1"/>
  <c r="R102" i="5" s="1"/>
  <c r="V37" i="9"/>
  <c r="B21" i="9"/>
  <c r="O14" i="9"/>
  <c r="O17" i="9" s="1"/>
  <c r="O19" i="9" s="1"/>
  <c r="L21" i="9" l="1"/>
  <c r="M70" i="5"/>
  <c r="M103" i="5"/>
  <c r="M73" i="5"/>
  <c r="J59" i="5"/>
  <c r="J62" i="5" s="1"/>
  <c r="J86" i="5" s="1"/>
  <c r="J81" i="5" s="1"/>
  <c r="O81" i="5" s="1"/>
  <c r="P81" i="5" s="1"/>
  <c r="R81" i="5" s="1"/>
  <c r="J70" i="5"/>
  <c r="O70" i="5" s="1"/>
  <c r="P70" i="5" s="1"/>
  <c r="T34" i="9"/>
  <c r="T36" i="9" s="1"/>
  <c r="O60" i="5" s="1"/>
  <c r="P60" i="5" s="1"/>
  <c r="R60" i="5" s="1"/>
  <c r="R66" i="5"/>
  <c r="O79" i="5"/>
  <c r="P79" i="5" s="1"/>
  <c r="R78" i="5" s="1"/>
  <c r="O61" i="5"/>
  <c r="P61" i="5" s="1"/>
  <c r="R61" i="5" s="1"/>
  <c r="J69" i="5"/>
  <c r="O69" i="5" s="1"/>
  <c r="P69" i="5" s="1"/>
  <c r="R69" i="5" s="1"/>
  <c r="O58" i="5"/>
  <c r="P58" i="5" s="1"/>
  <c r="R58" i="5" s="1"/>
  <c r="O64" i="5"/>
  <c r="P64" i="5" s="1"/>
  <c r="R63" i="5" s="1"/>
  <c r="J104" i="5"/>
  <c r="J106" i="5" s="1"/>
  <c r="O106" i="5" s="1"/>
  <c r="P106" i="5" s="1"/>
  <c r="R106" i="5" s="1"/>
  <c r="AD29" i="9"/>
  <c r="AD31" i="9" s="1"/>
  <c r="AD42" i="9" s="1"/>
  <c r="AD43" i="9" s="1"/>
  <c r="O72" i="5" s="1"/>
  <c r="P72" i="5" s="1"/>
  <c r="R72" i="5" s="1"/>
  <c r="J101" i="5"/>
  <c r="J73" i="5"/>
  <c r="J84" i="5"/>
  <c r="O84" i="5" s="1"/>
  <c r="P84" i="5" s="1"/>
  <c r="R84" i="5" s="1"/>
  <c r="S84" i="5" s="1"/>
  <c r="AD7" i="9"/>
  <c r="AD9" i="9" s="1"/>
  <c r="AD20" i="9" s="1"/>
  <c r="AD21" i="9" s="1"/>
  <c r="O65" i="5" s="1"/>
  <c r="P65" i="5" s="1"/>
  <c r="R65" i="5" s="1"/>
  <c r="R67" i="5"/>
  <c r="O88" i="5"/>
  <c r="P88" i="5" s="1"/>
  <c r="R88" i="5" s="1"/>
  <c r="O96" i="5"/>
  <c r="P96" i="5" s="1"/>
  <c r="R96" i="5" s="1"/>
  <c r="R93" i="5"/>
  <c r="J100" i="5"/>
  <c r="J99" i="5"/>
  <c r="O99" i="5" s="1"/>
  <c r="P99" i="5" s="1"/>
  <c r="R99" i="5" s="1"/>
  <c r="J98" i="5"/>
  <c r="J103" i="5" s="1"/>
  <c r="O103" i="5" s="1"/>
  <c r="P103" i="5" s="1"/>
  <c r="R103" i="5" s="1"/>
  <c r="T71" i="9"/>
  <c r="T73" i="9" s="1"/>
  <c r="O90" i="5" s="1"/>
  <c r="P90" i="5" s="1"/>
  <c r="R90" i="5" s="1"/>
  <c r="D59" i="8" s="1"/>
  <c r="E59" i="8" s="1"/>
  <c r="J115" i="5"/>
  <c r="O115" i="5" s="1"/>
  <c r="P115" i="5" s="1"/>
  <c r="S113" i="5"/>
  <c r="O108" i="5"/>
  <c r="P108" i="5" s="1"/>
  <c r="O109" i="5"/>
  <c r="P109" i="5" s="1"/>
  <c r="R97" i="5"/>
  <c r="J114" i="5"/>
  <c r="O114" i="5" s="1"/>
  <c r="P114" i="5" s="1"/>
  <c r="R114" i="5" s="1"/>
  <c r="S114" i="5" s="1"/>
  <c r="J89" i="5"/>
  <c r="O89" i="5" s="1"/>
  <c r="P89" i="5" s="1"/>
  <c r="R89" i="5" s="1"/>
  <c r="AI7" i="9"/>
  <c r="AI9" i="9" s="1"/>
  <c r="AI20" i="9" s="1"/>
  <c r="AI21" i="9" s="1"/>
  <c r="O95" i="5" s="1"/>
  <c r="P95" i="5" s="1"/>
  <c r="R95" i="5" s="1"/>
  <c r="J87" i="5"/>
  <c r="O87" i="5" s="1"/>
  <c r="P87" i="5" s="1"/>
  <c r="R87" i="5" s="1"/>
  <c r="S87" i="5" s="1"/>
  <c r="O62" i="5"/>
  <c r="P62" i="5" s="1"/>
  <c r="R62" i="5" s="1"/>
  <c r="O59" i="5" l="1"/>
  <c r="P59" i="5" s="1"/>
  <c r="R59" i="5" s="1"/>
  <c r="M71" i="5"/>
  <c r="M100" i="5"/>
  <c r="O100" i="5" s="1"/>
  <c r="P100" i="5" s="1"/>
  <c r="O86" i="5"/>
  <c r="P86" i="5" s="1"/>
  <c r="R85" i="5" s="1"/>
  <c r="S85" i="5" s="1"/>
  <c r="O73" i="5"/>
  <c r="P73" i="5" s="1"/>
  <c r="R73" i="5" s="1"/>
  <c r="J75" i="5"/>
  <c r="O75" i="5" s="1"/>
  <c r="P75" i="5" s="1"/>
  <c r="R75" i="5" s="1"/>
  <c r="S58" i="5"/>
  <c r="O104" i="5"/>
  <c r="P104" i="5" s="1"/>
  <c r="R104" i="5" s="1"/>
  <c r="O98" i="5"/>
  <c r="P98" i="5" s="1"/>
  <c r="R98" i="5" s="1"/>
  <c r="J92" i="5"/>
  <c r="J116" i="5" s="1"/>
  <c r="R108" i="5"/>
  <c r="S88" i="5"/>
  <c r="S77" i="5"/>
  <c r="S62" i="5"/>
  <c r="M101" i="5" l="1"/>
  <c r="O101" i="5" s="1"/>
  <c r="P101" i="5" s="1"/>
  <c r="R100" i="5" s="1"/>
  <c r="O71" i="5"/>
  <c r="P71" i="5" s="1"/>
  <c r="R70" i="5" s="1"/>
  <c r="S69" i="5"/>
  <c r="O92" i="5"/>
  <c r="P92" i="5" s="1"/>
  <c r="R92" i="5" s="1"/>
  <c r="S92" i="5" s="1"/>
  <c r="J117" i="5"/>
  <c r="O117" i="5" s="1"/>
  <c r="P117" i="5" s="1"/>
  <c r="R117" i="5" s="1"/>
  <c r="S117" i="5" s="1"/>
  <c r="J111" i="5"/>
  <c r="O111" i="5" s="1"/>
  <c r="P111" i="5" s="1"/>
  <c r="R111" i="5" s="1"/>
  <c r="O116" i="5"/>
  <c r="P116" i="5" s="1"/>
  <c r="R115" i="5" s="1"/>
  <c r="S115" i="5" s="1"/>
  <c r="D60" i="8" l="1"/>
  <c r="E60" i="8" s="1"/>
  <c r="C99" i="8" s="1"/>
  <c r="C136" i="8" s="1"/>
  <c r="D63" i="8"/>
  <c r="E63" i="8" s="1"/>
  <c r="C102" i="8" s="1"/>
  <c r="C139" i="8" s="1"/>
  <c r="S99" i="5"/>
  <c r="S107" i="5"/>
  <c r="D64" i="8" l="1"/>
  <c r="E64" i="8" s="1"/>
  <c r="C103" i="8" s="1"/>
  <c r="C140" i="8" s="1"/>
  <c r="D66" i="8"/>
  <c r="D62" i="8"/>
  <c r="E62" i="8" s="1"/>
  <c r="C101" i="8" s="1"/>
  <c r="C138" i="8" s="1"/>
  <c r="D61" i="8"/>
  <c r="D58" i="8"/>
  <c r="E58" i="8" s="1"/>
  <c r="E66" i="8" l="1"/>
  <c r="C105" i="8" s="1"/>
  <c r="C142" i="8" s="1"/>
  <c r="U59" i="4"/>
  <c r="E61" i="8"/>
  <c r="C100" i="8" s="1"/>
  <c r="C137" i="8" s="1"/>
  <c r="C98" i="8"/>
  <c r="C135" i="8" s="1"/>
  <c r="D57" i="8"/>
  <c r="E57" i="8" s="1"/>
  <c r="C97" i="8"/>
  <c r="C134" i="8" s="1"/>
  <c r="F105" i="8"/>
  <c r="F142" i="8" s="1"/>
  <c r="F101" i="8" l="1"/>
  <c r="F138" i="8" s="1"/>
  <c r="F102" i="8"/>
  <c r="F139" i="8" s="1"/>
  <c r="F99" i="8"/>
  <c r="F136" i="8" s="1"/>
  <c r="F103" i="8"/>
  <c r="F140" i="8" s="1"/>
  <c r="F100" i="8"/>
  <c r="F137" i="8" s="1"/>
  <c r="F96" i="8"/>
  <c r="F104" i="8"/>
  <c r="F141" i="8" s="1"/>
  <c r="D65" i="8"/>
  <c r="E65" i="8" s="1"/>
  <c r="F98" i="8"/>
  <c r="F135" i="8" s="1"/>
  <c r="C96" i="8"/>
  <c r="C133" i="8" s="1"/>
  <c r="F97" i="8"/>
  <c r="F134" i="8" s="1"/>
  <c r="F106" i="8" l="1"/>
  <c r="F133" i="8"/>
  <c r="F143" i="8" s="1"/>
  <c r="C104" i="8"/>
  <c r="D69" i="8"/>
  <c r="D72" i="8" l="1"/>
  <c r="H58" i="8"/>
  <c r="K58" i="8" s="1"/>
  <c r="D97" i="8" s="1"/>
  <c r="C141" i="8"/>
  <c r="C143" i="8" s="1"/>
  <c r="C106" i="8"/>
  <c r="H60" i="8"/>
  <c r="K60" i="8" s="1"/>
  <c r="D99" i="8" s="1"/>
  <c r="J69" i="8"/>
  <c r="J72" i="8" s="1"/>
  <c r="H66" i="8"/>
  <c r="K66" i="8" s="1"/>
  <c r="D105" i="8" s="1"/>
  <c r="H64" i="8"/>
  <c r="K64" i="8" s="1"/>
  <c r="D103" i="8" s="1"/>
  <c r="H63" i="8"/>
  <c r="K63" i="8" s="1"/>
  <c r="D102" i="8" s="1"/>
  <c r="H62" i="8"/>
  <c r="K62" i="8" s="1"/>
  <c r="D101" i="8" s="1"/>
  <c r="H59" i="8"/>
  <c r="K59" i="8" s="1"/>
  <c r="D98" i="8" s="1"/>
  <c r="H61" i="8"/>
  <c r="K61" i="8" s="1"/>
  <c r="D100" i="8" s="1"/>
  <c r="H57" i="8"/>
  <c r="K57" i="8" s="1"/>
  <c r="D96" i="8" s="1"/>
  <c r="H65" i="8"/>
  <c r="K65" i="8" s="1"/>
  <c r="D104" i="8" s="1"/>
  <c r="D142" i="8" l="1"/>
  <c r="D134" i="8"/>
  <c r="D136" i="8"/>
  <c r="D137" i="8"/>
  <c r="D140" i="8"/>
  <c r="D135" i="8"/>
  <c r="D138" i="8"/>
  <c r="D139" i="8"/>
  <c r="D141" i="8"/>
  <c r="D133" i="8"/>
  <c r="D106" i="8"/>
  <c r="D143" i="8" l="1"/>
  <c r="BF67" i="10" l="1"/>
  <c r="BE67" i="10"/>
  <c r="C83" i="8" l="1"/>
  <c r="E101" i="8" s="1"/>
  <c r="C79" i="8"/>
  <c r="E97" i="8" s="1"/>
  <c r="C86" i="8"/>
  <c r="E104" i="8" s="1"/>
  <c r="C78" i="8"/>
  <c r="E96" i="8" s="1"/>
  <c r="C85" i="8"/>
  <c r="E103" i="8" s="1"/>
  <c r="C80" i="8"/>
  <c r="E98" i="8" s="1"/>
  <c r="C87" i="8"/>
  <c r="E105" i="8" s="1"/>
  <c r="C81" i="8"/>
  <c r="E99" i="8" s="1"/>
  <c r="C82" i="8"/>
  <c r="E100" i="8" s="1"/>
  <c r="C84" i="8"/>
  <c r="E102" i="8" s="1"/>
  <c r="G104" i="8" l="1"/>
  <c r="E136" i="8"/>
  <c r="G99" i="8"/>
  <c r="E142" i="8"/>
  <c r="G105" i="8"/>
  <c r="E141" i="8"/>
  <c r="E139" i="8"/>
  <c r="G102" i="8"/>
  <c r="E134" i="8"/>
  <c r="G97" i="8"/>
  <c r="E106" i="8"/>
  <c r="E133" i="8"/>
  <c r="G96" i="8"/>
  <c r="E135" i="8"/>
  <c r="G98" i="8"/>
  <c r="E137" i="8"/>
  <c r="G100" i="8"/>
  <c r="E140" i="8"/>
  <c r="G103" i="8"/>
  <c r="G101" i="8"/>
  <c r="E138" i="8"/>
  <c r="H101" i="8" l="1"/>
  <c r="C117" i="8"/>
  <c r="H102" i="8"/>
  <c r="C118" i="8"/>
  <c r="H98" i="8"/>
  <c r="C114" i="8"/>
  <c r="H99" i="8"/>
  <c r="C115" i="8"/>
  <c r="H103" i="8"/>
  <c r="C119" i="8"/>
  <c r="H97" i="8"/>
  <c r="C113" i="8"/>
  <c r="H100" i="8"/>
  <c r="C116" i="8"/>
  <c r="H96" i="8"/>
  <c r="C112" i="8"/>
  <c r="H105" i="8"/>
  <c r="C121" i="8"/>
  <c r="H104" i="8"/>
  <c r="C120" i="8"/>
  <c r="E143" i="8"/>
  <c r="G106" i="8"/>
  <c r="F108" i="8"/>
  <c r="B127" i="8" s="1"/>
  <c r="H106" i="8" l="1"/>
  <c r="E120" i="8"/>
  <c r="D120" i="8"/>
  <c r="F120" i="8"/>
  <c r="D112" i="8"/>
  <c r="C122" i="8"/>
  <c r="E112" i="8"/>
  <c r="F112" i="8"/>
  <c r="D115" i="8"/>
  <c r="F115" i="8"/>
  <c r="E115" i="8"/>
  <c r="F121" i="8"/>
  <c r="E121" i="8"/>
  <c r="D121" i="8"/>
  <c r="E116" i="8"/>
  <c r="D116" i="8"/>
  <c r="F116" i="8"/>
  <c r="D119" i="8"/>
  <c r="F119" i="8"/>
  <c r="E119" i="8"/>
  <c r="F114" i="8"/>
  <c r="E114" i="8"/>
  <c r="D114" i="8"/>
  <c r="F117" i="8"/>
  <c r="E117" i="8"/>
  <c r="D117" i="8"/>
  <c r="F113" i="8"/>
  <c r="E113" i="8"/>
  <c r="D113" i="8"/>
  <c r="F118" i="8"/>
  <c r="E118" i="8"/>
  <c r="D118" i="8"/>
  <c r="G143" i="8"/>
  <c r="F146" i="8" s="1"/>
  <c r="B150" i="8" s="1"/>
  <c r="D122" i="8" l="1"/>
  <c r="D127" i="8" s="1"/>
  <c r="D150" i="8" s="1"/>
  <c r="F122" i="8"/>
  <c r="F127" i="8" s="1"/>
  <c r="F150" i="8" s="1"/>
  <c r="E122" i="8"/>
  <c r="E127" i="8" s="1"/>
  <c r="E150" i="8" s="1"/>
</calcChain>
</file>

<file path=xl/sharedStrings.xml><?xml version="1.0" encoding="utf-8"?>
<sst xmlns="http://schemas.openxmlformats.org/spreadsheetml/2006/main" count="4330" uniqueCount="553">
  <si>
    <t>Construction and Demolition Material Flow Analysis Data Base</t>
  </si>
  <si>
    <t>A sub-project of Āmiomio Aotearoa: A circular economy for the wellbeing of New Zealand</t>
  </si>
  <si>
    <t xml:space="preserve">Produced by: </t>
  </si>
  <si>
    <t>Jacob Nelson</t>
  </si>
  <si>
    <t>Grace Elliot</t>
  </si>
  <si>
    <t>Kim Pickering</t>
  </si>
  <si>
    <t>The following document provides all of the data and estimates provided in the Material Flow Analysis Report.</t>
  </si>
  <si>
    <t>The focus of the report and database were to assess and estimate material flow at four key stages of construction and demolition in NZ.</t>
  </si>
  <si>
    <t>The data displayed in this database is focused on the material flow in residential construction and demolition.</t>
  </si>
  <si>
    <t>The figure below summarises these stages:</t>
  </si>
  <si>
    <t xml:space="preserve">Where possible the material flow was estimated for the last 30 years (from 1991 to 2021), for every fifth year. </t>
  </si>
  <si>
    <t xml:space="preserve">Where this was not possible estimates were made for the current state of the construction sector based on data produced in the last 5 years. </t>
  </si>
  <si>
    <t>The following tabs provide estimates for material flow input and output from the construction sector in the highlighted stages of the C&amp;D sector:</t>
  </si>
  <si>
    <t>Material Input</t>
  </si>
  <si>
    <t>New Construction</t>
  </si>
  <si>
    <t>Demolition</t>
  </si>
  <si>
    <t>Material Output</t>
  </si>
  <si>
    <t>Consent data was heavily used for assumptions and calculations throughout the study and is shown in the following tabs:</t>
  </si>
  <si>
    <t>Building Consents</t>
  </si>
  <si>
    <t>Commercial Building Consents Detailed</t>
  </si>
  <si>
    <t xml:space="preserve">The findings of the report are shown in the following Sankey diagrams. Diagram A summarises the expected flow of material into the construction sector. </t>
  </si>
  <si>
    <t>Diagram B summarises the flow of output materials from the residential construction sector.</t>
  </si>
  <si>
    <t>A)</t>
  </si>
  <si>
    <t>B)</t>
  </si>
  <si>
    <t>Table of Contents</t>
  </si>
  <si>
    <t>Material Input Estimations</t>
  </si>
  <si>
    <t>Timber Supply Data</t>
  </si>
  <si>
    <t>Concrete Supply Data</t>
  </si>
  <si>
    <t>Steel Supply Data</t>
  </si>
  <si>
    <t>Year</t>
  </si>
  <si>
    <t>Timber</t>
  </si>
  <si>
    <t>Ready Mix concrete</t>
  </si>
  <si>
    <t>Bricks/ block/ tiles</t>
  </si>
  <si>
    <t>Steel</t>
  </si>
  <si>
    <t>Aluminium</t>
  </si>
  <si>
    <t>Plasterboard</t>
  </si>
  <si>
    <t>Fibre cement</t>
  </si>
  <si>
    <t>Fibreglass</t>
  </si>
  <si>
    <t>Plastic</t>
  </si>
  <si>
    <t>Glass</t>
  </si>
  <si>
    <t>Material Input Estimates for Timber, Concrete, Bricks, Blocks, and Tiles, Steel, and Aluminium are based on the known relationship between timber and concrete material estimations, and total production in New Zealand</t>
  </si>
  <si>
    <t>-</t>
  </si>
  <si>
    <t>Material Inputs for Plasterboard, Fibre cement, Insulation, and Glass are based on the material estimations for residential extrapolated for the whole construction sector based on consent values ($)</t>
  </si>
  <si>
    <t>Timber  Supply Calculations</t>
  </si>
  <si>
    <t xml:space="preserve">Timber supply was found using a mass balance of timber and timber products produced in New Zealand, and imports and exports. </t>
  </si>
  <si>
    <t>The timber supply also shows volume of logs harvested in New Zealand, however, these were not used in the calculations, as MPI supplies volume of sawn timber produced with Sawmill conversion factors already used.</t>
  </si>
  <si>
    <t>Some data is only available from 2003 onwards, therefore previous years are likely to be less accurate.</t>
  </si>
  <si>
    <t>Timber and timber-based products were assumed to be dried, and therefore an average weight for radiata pine of 425 kg/m3 was used for calculations. Note the logs are likely to be significantly heavier.</t>
  </si>
  <si>
    <t>Volume of trees Harvested (December 2021 quarter production)</t>
  </si>
  <si>
    <t>Volume of Exports (forest quarterly export)</t>
  </si>
  <si>
    <t>Volume of timber to sawn timber (December 2021 quarter production)</t>
  </si>
  <si>
    <t>Sawn timber production (December 2021 quarter production)</t>
  </si>
  <si>
    <t>Sawn Timber Export (forest quarterly trade export)</t>
  </si>
  <si>
    <t>Sawn Timber Import (Forest quarterly trade import)</t>
  </si>
  <si>
    <t>Sawn timber in NZ (m3)</t>
  </si>
  <si>
    <t>Sawn timber in NZ (tonnes) assuming 425 kg/m3</t>
  </si>
  <si>
    <t>Panels Produced in NZ (fibre board/ veneer/ plywood/ particle board) (C1-4 Production…/ and quarter production)</t>
  </si>
  <si>
    <t>Panel Export</t>
  </si>
  <si>
    <t>Panel Import</t>
  </si>
  <si>
    <t>Panels in NZ</t>
  </si>
  <si>
    <t>Panels in NZ tonnes</t>
  </si>
  <si>
    <t>Glulam Produced in NZ (m3)</t>
  </si>
  <si>
    <t>Timber in NZ</t>
  </si>
  <si>
    <t>Sawn Timber in residential (81% - Infrastructure report)</t>
  </si>
  <si>
    <t>Notes</t>
  </si>
  <si>
    <t>Radiata pine is expected to make up roughly 90% of timber harvested in NZ. Other species include Douglas Fir, other Pinus species, native timbers, etc.</t>
  </si>
  <si>
    <t>Sources</t>
  </si>
  <si>
    <t>Ministry for Primary Industries (MPI)</t>
  </si>
  <si>
    <t>https://www.mpi.govt.nz/forestry/forest-industry-and-workforce/forestry-wood-processing-data/wood-processing-data/</t>
  </si>
  <si>
    <t>December 2021 Quarterly Production</t>
  </si>
  <si>
    <t>https://www.mpi.govt.nz/forestry/forest-industry-and-workforce/forestry-wood-processing-data/wood-product-markets-data/</t>
  </si>
  <si>
    <t>Forest Quarterly Trade Exports</t>
  </si>
  <si>
    <t>Forest Quarterly Trade Imports</t>
  </si>
  <si>
    <t>Production of veneer, plywood, laminated veneer, lumber, particleboard, and fibreboard, 1951 to most recent</t>
  </si>
  <si>
    <t>Concrete supply calculations</t>
  </si>
  <si>
    <t>Ready-Mix Concrete</t>
  </si>
  <si>
    <t>000 m3</t>
  </si>
  <si>
    <t>m3</t>
  </si>
  <si>
    <t>tonnes</t>
  </si>
  <si>
    <t>Golden Bay Cement</t>
  </si>
  <si>
    <t>Produced in NZ</t>
  </si>
  <si>
    <t>Holcim</t>
  </si>
  <si>
    <t>Imported</t>
  </si>
  <si>
    <t>HR cement</t>
  </si>
  <si>
    <t>Imported Clinker to produce cement</t>
  </si>
  <si>
    <t>Concrete expected ratio</t>
  </si>
  <si>
    <t>10 - 15% cement</t>
  </si>
  <si>
    <t>60  - 75% aggregate</t>
  </si>
  <si>
    <t>15 - 20% water</t>
  </si>
  <si>
    <t>expected 50 million tonnes of aggregate in 2018</t>
  </si>
  <si>
    <t>in roading (65%)</t>
  </si>
  <si>
    <t xml:space="preserve">tonnes </t>
  </si>
  <si>
    <t>in other industries including construction (35%)</t>
  </si>
  <si>
    <t>notes</t>
  </si>
  <si>
    <t>Cement and Aggregate production Numbers</t>
  </si>
  <si>
    <t xml:space="preserve">https://www.tewaihanga.govt.nz/assets/Infrastructure-Resources-Study-11-Nov-21.pdf </t>
  </si>
  <si>
    <t>Concrete Composition</t>
  </si>
  <si>
    <t>https://www.cement.org/cement-concrete/how-concrete-is-made#:~:text=Typically%2C%20a%20mix%20is%20about,another%205%20to%208%20percent.</t>
  </si>
  <si>
    <t>Concrete was assumed t be 2.4 tonnes/m3 on average to find mass of ready mix concrete in NZ</t>
  </si>
  <si>
    <t>Stats NZ</t>
  </si>
  <si>
    <t>https://infoshare.stats.govt.nz/</t>
  </si>
  <si>
    <t>Ready mixed concrete by region (AST) (Annual-Dec)</t>
  </si>
  <si>
    <t>Steel supply notes</t>
  </si>
  <si>
    <t>Infrastructure Resources Study</t>
  </si>
  <si>
    <t>All Stainless steel is imported.</t>
  </si>
  <si>
    <t>Ductile iron pipes used in infrastructure are imported. Valves hydrants, and pumps are locally made.</t>
  </si>
  <si>
    <t>85 % of steel expected to be recycled.</t>
  </si>
  <si>
    <t>All recycling is completed overseas</t>
  </si>
  <si>
    <t>50 % of steel produced in NZ BlueScope, New Zealand steel mill Glenbrook (Fletcher steel backs this up).</t>
  </si>
  <si>
    <t>Merchants for steel:</t>
  </si>
  <si>
    <t>Fletcher steel</t>
  </si>
  <si>
    <t>HJ Asmuss</t>
  </si>
  <si>
    <t>Steel and tube</t>
  </si>
  <si>
    <t>Tasman PFV</t>
  </si>
  <si>
    <t>United steel limited</t>
  </si>
  <si>
    <t>Estimated 850,000 tonnes consumed in NZ annually.</t>
  </si>
  <si>
    <t>Hera</t>
  </si>
  <si>
    <t>Also provides info of waste steel in NZ.</t>
  </si>
  <si>
    <t>85% recycled from infrastructure and construction.</t>
  </si>
  <si>
    <t>Gives a mass.</t>
  </si>
  <si>
    <t>On an annual basis for a few years.</t>
  </si>
  <si>
    <t>https://www.hera.org.nz/wp-content/uploads/R5-89-Steel-Recycling-Report-v2.pdf</t>
  </si>
  <si>
    <t>https://www.tewaihanga.govt.nz/assets/Infrastructure-Resources-Study-11-Nov-21.pdf</t>
  </si>
  <si>
    <t>New residential dwelling consent data</t>
  </si>
  <si>
    <t>Distribution of construction materials in new dwellings</t>
  </si>
  <si>
    <t>Material estimation for LDH dwellings</t>
  </si>
  <si>
    <t>Material estimation for MDH dwellings</t>
  </si>
  <si>
    <t xml:space="preserve">Total quantity of materials 1991-2021 </t>
  </si>
  <si>
    <t>New Residential Dwellings</t>
  </si>
  <si>
    <t>Year (ending Dec)</t>
  </si>
  <si>
    <t>Low Density Housing (LDH)</t>
  </si>
  <si>
    <t>No. New Dwellings</t>
  </si>
  <si>
    <r>
      <t>Average Floor Area (m</t>
    </r>
    <r>
      <rPr>
        <sz val="11"/>
        <color theme="1"/>
        <rFont val="Calibri"/>
        <family val="2"/>
      </rPr>
      <t>²</t>
    </r>
    <r>
      <rPr>
        <sz val="11"/>
        <color theme="1"/>
        <rFont val="Calibri"/>
        <family val="2"/>
        <scheme val="minor"/>
      </rPr>
      <t>)</t>
    </r>
  </si>
  <si>
    <t>Total Floor Area (m²)</t>
  </si>
  <si>
    <t>Medium Density Housing (MDH)</t>
  </si>
  <si>
    <t>Average Floor Area (m²)</t>
  </si>
  <si>
    <t>All Dwellings</t>
  </si>
  <si>
    <t>Population (Mil)</t>
  </si>
  <si>
    <t>Distribution of Materials</t>
  </si>
  <si>
    <t>Roof Cladding</t>
  </si>
  <si>
    <t>Wall Cladding</t>
  </si>
  <si>
    <t>Wall Framing</t>
  </si>
  <si>
    <t>Flooring</t>
  </si>
  <si>
    <t>Floor Joist</t>
  </si>
  <si>
    <t>Insulation (wall, ceiling)</t>
  </si>
  <si>
    <t>Insulation (timber floor)</t>
  </si>
  <si>
    <t>Insulation (concrete slab)</t>
  </si>
  <si>
    <t>Sheet Metal</t>
  </si>
  <si>
    <t>Tiles</t>
  </si>
  <si>
    <t>Plastic/Membranes</t>
  </si>
  <si>
    <t>Bricks</t>
  </si>
  <si>
    <t>Fibre Cement/AAC/Stucco</t>
  </si>
  <si>
    <t>Concrete</t>
  </si>
  <si>
    <t>Polyester</t>
  </si>
  <si>
    <t>Polystyrene</t>
  </si>
  <si>
    <t>Foil</t>
  </si>
  <si>
    <t>= Taken as last known value (no data available)</t>
  </si>
  <si>
    <t>Material Quantity Estimation</t>
  </si>
  <si>
    <t>LDH/MDH</t>
  </si>
  <si>
    <t>Material Category</t>
  </si>
  <si>
    <t>Material Type</t>
  </si>
  <si>
    <t>Area (m²)</t>
  </si>
  <si>
    <t>Thickness (m)</t>
  </si>
  <si>
    <r>
      <t>Density (kg/m</t>
    </r>
    <r>
      <rPr>
        <b/>
        <sz val="11"/>
        <color theme="1"/>
        <rFont val="Arial"/>
        <family val="2"/>
      </rPr>
      <t>³</t>
    </r>
    <r>
      <rPr>
        <b/>
        <sz val="11"/>
        <color theme="1"/>
        <rFont val="Calibri"/>
        <family val="2"/>
        <scheme val="minor"/>
      </rPr>
      <t>) or Mass (kg/m</t>
    </r>
    <r>
      <rPr>
        <b/>
        <sz val="11"/>
        <color theme="1"/>
        <rFont val="Calibri"/>
        <family val="2"/>
      </rPr>
      <t>²</t>
    </r>
    <r>
      <rPr>
        <b/>
        <sz val="11"/>
        <color theme="1"/>
        <rFont val="Calibri"/>
        <family val="2"/>
        <scheme val="minor"/>
      </rPr>
      <t>)</t>
    </r>
  </si>
  <si>
    <t>Mass (kg)</t>
  </si>
  <si>
    <t>Mass (T)</t>
  </si>
  <si>
    <t>Material Distribution</t>
  </si>
  <si>
    <t>All Houses (T)</t>
  </si>
  <si>
    <t>Total (T)</t>
  </si>
  <si>
    <t>Concrete &amp; Masonry</t>
  </si>
  <si>
    <t>Roof Tiles</t>
  </si>
  <si>
    <t>Brick Cladding</t>
  </si>
  <si>
    <t>Floor Area</t>
  </si>
  <si>
    <t>Pile Foundation Footings</t>
  </si>
  <si>
    <t>Concrete Flooring</t>
  </si>
  <si>
    <t>No. Dwellings</t>
  </si>
  <si>
    <t>Wall Framing - Internal</t>
  </si>
  <si>
    <t>Wall Framing - External</t>
  </si>
  <si>
    <t>Truss</t>
  </si>
  <si>
    <t>Pile Foundations</t>
  </si>
  <si>
    <t>Subfloor</t>
  </si>
  <si>
    <t>Metals</t>
  </si>
  <si>
    <t>Steel Subfloor</t>
  </si>
  <si>
    <t>Concrete Slab Reinforcing</t>
  </si>
  <si>
    <t>Foil Insulation</t>
  </si>
  <si>
    <t>Aluminium Window Framing</t>
  </si>
  <si>
    <t>Polystyrene Floor Insulation</t>
  </si>
  <si>
    <t>Polyester Floor Insulation</t>
  </si>
  <si>
    <t>Polyester Wall Insulation</t>
  </si>
  <si>
    <t>Polyester Ceiling Insulation</t>
  </si>
  <si>
    <t>Windows</t>
  </si>
  <si>
    <t>Internal Wall Linings</t>
  </si>
  <si>
    <t xml:space="preserve">Fibreglass </t>
  </si>
  <si>
    <t>Ceiling Insulation</t>
  </si>
  <si>
    <t>Wall Insulation</t>
  </si>
  <si>
    <t xml:space="preserve">Fibre-Cement </t>
  </si>
  <si>
    <t>*NB: These values do not update with the above table. Correct as at 29/06/2022.</t>
  </si>
  <si>
    <t>Metal</t>
  </si>
  <si>
    <t>Sheet</t>
  </si>
  <si>
    <t>Fibre-cement</t>
  </si>
  <si>
    <t>Total</t>
  </si>
  <si>
    <t>= Totals</t>
  </si>
  <si>
    <t>Internal timber framing</t>
  </si>
  <si>
    <t>External timber framing</t>
  </si>
  <si>
    <t>Steel framing</t>
  </si>
  <si>
    <t>Timber pile foundations LDH</t>
  </si>
  <si>
    <t>Timber subfloor</t>
  </si>
  <si>
    <t>Timber truss LDH</t>
  </si>
  <si>
    <t>Timber truss MDH</t>
  </si>
  <si>
    <t>Framing dimensions</t>
  </si>
  <si>
    <t>Stud height (m)</t>
  </si>
  <si>
    <t>Pile spacing</t>
  </si>
  <si>
    <t>Bearer spacing (m)</t>
  </si>
  <si>
    <t>Bearer spacing</t>
  </si>
  <si>
    <t>Dwelling total floor area (m²)</t>
  </si>
  <si>
    <t>Stud spacing (m)</t>
  </si>
  <si>
    <t>Bearer span (m)</t>
  </si>
  <si>
    <t>Bearer span</t>
  </si>
  <si>
    <r>
      <t>Roof pitch (</t>
    </r>
    <r>
      <rPr>
        <sz val="11"/>
        <color theme="1"/>
        <rFont val="Arial"/>
        <family val="2"/>
      </rPr>
      <t>°)</t>
    </r>
  </si>
  <si>
    <t>Dwang spacing (m)</t>
  </si>
  <si>
    <r>
      <t>Area (m</t>
    </r>
    <r>
      <rPr>
        <sz val="11"/>
        <color theme="1"/>
        <rFont val="Calibri"/>
        <family val="2"/>
      </rPr>
      <t>²</t>
    </r>
    <r>
      <rPr>
        <sz val="11"/>
        <color theme="1"/>
        <rFont val="Calibri"/>
        <family val="2"/>
        <scheme val="minor"/>
      </rPr>
      <t>)</t>
    </r>
  </si>
  <si>
    <t>Joist spacing</t>
  </si>
  <si>
    <t>Bottom chord (m)</t>
  </si>
  <si>
    <t>Top chord (m)</t>
  </si>
  <si>
    <t>Section dimensions</t>
  </si>
  <si>
    <t>Timber width (m)</t>
  </si>
  <si>
    <r>
      <t>Top plate area (m</t>
    </r>
    <r>
      <rPr>
        <sz val="11"/>
        <color theme="1"/>
        <rFont val="Calibri"/>
        <family val="2"/>
      </rPr>
      <t>²</t>
    </r>
    <r>
      <rPr>
        <sz val="11"/>
        <color theme="1"/>
        <rFont val="Calibri"/>
        <family val="2"/>
        <scheme val="minor"/>
      </rPr>
      <t>)</t>
    </r>
  </si>
  <si>
    <t>Variables</t>
  </si>
  <si>
    <t>Timber density (kg/m³)</t>
  </si>
  <si>
    <t>Truss height (m)</t>
  </si>
  <si>
    <t>Timber thickness (m)</t>
  </si>
  <si>
    <t>Bottom plate/stud area (m²)</t>
  </si>
  <si>
    <t>Concrete density (kg/m³)</t>
  </si>
  <si>
    <t>Density</t>
  </si>
  <si>
    <t>Web angle (°)</t>
  </si>
  <si>
    <r>
      <t>Timber density (kg/m</t>
    </r>
    <r>
      <rPr>
        <sz val="11"/>
        <color theme="1"/>
        <rFont val="Arial"/>
        <family val="2"/>
      </rPr>
      <t>³</t>
    </r>
    <r>
      <rPr>
        <sz val="11"/>
        <color theme="1"/>
        <rFont val="Calibri"/>
        <family val="2"/>
      </rPr>
      <t>)</t>
    </r>
  </si>
  <si>
    <r>
      <t>Steel density (kg/m</t>
    </r>
    <r>
      <rPr>
        <sz val="11"/>
        <color theme="1"/>
        <rFont val="Arial"/>
        <family val="2"/>
      </rPr>
      <t>³</t>
    </r>
    <r>
      <rPr>
        <sz val="11"/>
        <color theme="1"/>
        <rFont val="Calibri"/>
        <family val="2"/>
      </rPr>
      <t>)</t>
    </r>
  </si>
  <si>
    <t>Length of webs (m)</t>
  </si>
  <si>
    <t>Bearers</t>
  </si>
  <si>
    <t>Truss spacing (m)</t>
  </si>
  <si>
    <t>Volume calculations</t>
  </si>
  <si>
    <r>
      <t>Studs (m</t>
    </r>
    <r>
      <rPr>
        <sz val="11"/>
        <color theme="1"/>
        <rFont val="Arial"/>
        <family val="2"/>
      </rPr>
      <t>³</t>
    </r>
    <r>
      <rPr>
        <sz val="11"/>
        <color theme="1"/>
        <rFont val="Calibri"/>
        <family val="2"/>
      </rPr>
      <t>)</t>
    </r>
  </si>
  <si>
    <t>Ordinary piles</t>
  </si>
  <si>
    <t>Height above ground (m)</t>
  </si>
  <si>
    <t>Purlin spacing (m)</t>
  </si>
  <si>
    <t>Top + bottom plate (m³)</t>
  </si>
  <si>
    <t>Depth below ground (m)</t>
  </si>
  <si>
    <t>Dwangs (m³)</t>
  </si>
  <si>
    <r>
      <t>Cross-sectional area (m</t>
    </r>
    <r>
      <rPr>
        <sz val="11"/>
        <color theme="1"/>
        <rFont val="Calibri"/>
        <family val="2"/>
      </rPr>
      <t>²)</t>
    </r>
  </si>
  <si>
    <t>Joists</t>
  </si>
  <si>
    <t>Total volume (m³)</t>
  </si>
  <si>
    <t>Concrete footing volume (m³)</t>
  </si>
  <si>
    <t>Top chord (m²)</t>
  </si>
  <si>
    <t>Mass calculations</t>
  </si>
  <si>
    <t xml:space="preserve">Wall area (m²) </t>
  </si>
  <si>
    <t>Anchor piles</t>
  </si>
  <si>
    <t>Bearers (kg)</t>
  </si>
  <si>
    <t>Bottom chord (m²)</t>
  </si>
  <si>
    <r>
      <t>Timber volume (m³ per m</t>
    </r>
    <r>
      <rPr>
        <sz val="11"/>
        <color theme="1"/>
        <rFont val="Calibri"/>
        <family val="2"/>
      </rPr>
      <t>² of wall)</t>
    </r>
  </si>
  <si>
    <r>
      <t>Steel volume (m</t>
    </r>
    <r>
      <rPr>
        <sz val="11"/>
        <color theme="1"/>
        <rFont val="Arial"/>
        <family val="2"/>
      </rPr>
      <t>³</t>
    </r>
    <r>
      <rPr>
        <sz val="11"/>
        <color theme="1"/>
        <rFont val="Calibri"/>
        <family val="2"/>
      </rPr>
      <t xml:space="preserve"> </t>
    </r>
    <r>
      <rPr>
        <sz val="11"/>
        <color theme="1"/>
        <rFont val="Calibri"/>
        <family val="2"/>
        <scheme val="minor"/>
      </rPr>
      <t>per m</t>
    </r>
    <r>
      <rPr>
        <sz val="11"/>
        <color theme="1"/>
        <rFont val="Calibri"/>
        <family val="2"/>
      </rPr>
      <t>² of wall)</t>
    </r>
  </si>
  <si>
    <t>Joists (kg)</t>
  </si>
  <si>
    <t>Webbing (m²)</t>
  </si>
  <si>
    <t>Total (kg)</t>
  </si>
  <si>
    <t>Purlin (m²)</t>
  </si>
  <si>
    <t>Timber mass (kg per m² of wall)</t>
  </si>
  <si>
    <t>Steel mass (kg per m² of wall)</t>
  </si>
  <si>
    <t>Mass per truss (kg)</t>
  </si>
  <si>
    <t>Bracing unit requirements</t>
  </si>
  <si>
    <r>
      <t>BUs required (per m</t>
    </r>
    <r>
      <rPr>
        <sz val="11"/>
        <color theme="1"/>
        <rFont val="Calibri"/>
        <family val="2"/>
      </rPr>
      <t>²)</t>
    </r>
    <r>
      <rPr>
        <sz val="11"/>
        <color theme="1"/>
        <rFont val="Calibri"/>
        <family val="2"/>
        <scheme val="minor"/>
      </rPr>
      <t xml:space="preserve"> light roof</t>
    </r>
  </si>
  <si>
    <t>Total mass (kg)</t>
  </si>
  <si>
    <r>
      <t>BUs required (per m</t>
    </r>
    <r>
      <rPr>
        <sz val="11"/>
        <color theme="1"/>
        <rFont val="Calibri"/>
        <family val="2"/>
      </rPr>
      <t>²)</t>
    </r>
    <r>
      <rPr>
        <sz val="11"/>
        <color theme="1"/>
        <rFont val="Calibri"/>
        <family val="2"/>
        <scheme val="minor"/>
      </rPr>
      <t xml:space="preserve"> heavy roof</t>
    </r>
  </si>
  <si>
    <r>
      <t>BUs required (per m</t>
    </r>
    <r>
      <rPr>
        <sz val="11"/>
        <color theme="1"/>
        <rFont val="Calibri"/>
        <family val="2"/>
      </rPr>
      <t>²)</t>
    </r>
    <r>
      <rPr>
        <sz val="11"/>
        <color theme="1"/>
        <rFont val="Calibri"/>
        <family val="2"/>
        <scheme val="minor"/>
      </rPr>
      <t xml:space="preserve"> weighted avg.</t>
    </r>
  </si>
  <si>
    <t>Steel subfloor</t>
  </si>
  <si>
    <t>Anchor pile BUs (earthquake)</t>
  </si>
  <si>
    <t>Steel truss LDH</t>
  </si>
  <si>
    <t>Steel truss MDH</t>
  </si>
  <si>
    <t>Fibreglass insulation</t>
  </si>
  <si>
    <t>James-Hardie fibre-cement</t>
  </si>
  <si>
    <t>Manufacturer</t>
  </si>
  <si>
    <t>Market (%)</t>
  </si>
  <si>
    <t>Density (kg/m³)</t>
  </si>
  <si>
    <t>Product</t>
  </si>
  <si>
    <t>Thickness (mm)</t>
  </si>
  <si>
    <r>
      <t>Weight (kg/m</t>
    </r>
    <r>
      <rPr>
        <b/>
        <sz val="11"/>
        <color theme="1"/>
        <rFont val="Calibri"/>
        <family val="2"/>
      </rPr>
      <t>²</t>
    </r>
    <r>
      <rPr>
        <b/>
        <sz val="11"/>
        <color theme="1"/>
        <rFont val="Calibri"/>
        <family val="2"/>
        <scheme val="minor"/>
      </rPr>
      <t>)</t>
    </r>
  </si>
  <si>
    <t>No. piles</t>
  </si>
  <si>
    <t>Pile spacing factor</t>
  </si>
  <si>
    <t>Wall R=2.0</t>
  </si>
  <si>
    <t>Tasman Insulation</t>
  </si>
  <si>
    <t>Exotec</t>
  </si>
  <si>
    <t>Total piles</t>
  </si>
  <si>
    <t>Knauf</t>
  </si>
  <si>
    <t>Axon</t>
  </si>
  <si>
    <t>Bradford Insulation</t>
  </si>
  <si>
    <t>Easylap</t>
  </si>
  <si>
    <t>Steel density (kg/m³)</t>
  </si>
  <si>
    <t>Average</t>
  </si>
  <si>
    <t>Stria</t>
  </si>
  <si>
    <t>Flex</t>
  </si>
  <si>
    <t>Pile mass calculations</t>
  </si>
  <si>
    <t>Ordinary piles (kg)</t>
  </si>
  <si>
    <t>Cross-sectional area (m²)</t>
  </si>
  <si>
    <t>Ceiling R=3.3</t>
  </si>
  <si>
    <t>Anchor piles (kg)</t>
  </si>
  <si>
    <t>Linea</t>
  </si>
  <si>
    <t>Footing mass calculations</t>
  </si>
  <si>
    <t>Polyester insulation</t>
  </si>
  <si>
    <t>Brand</t>
  </si>
  <si>
    <t>Timber pile foundations MDH</t>
  </si>
  <si>
    <t>Mammoth</t>
  </si>
  <si>
    <t>GreenStuf</t>
  </si>
  <si>
    <t>Floor R=1.3</t>
  </si>
  <si>
    <t>Demolitions in New Zealand</t>
  </si>
  <si>
    <t>Expected demolitions per year:</t>
  </si>
  <si>
    <t>2013 - 2018 census data change in houses in the building stock</t>
  </si>
  <si>
    <t>census data</t>
  </si>
  <si>
    <t>Number of consents in 2013 - 2018</t>
  </si>
  <si>
    <t>consents</t>
  </si>
  <si>
    <t>Number of demolitions from 2013 - 2018</t>
  </si>
  <si>
    <t>calculations - BRANZ</t>
  </si>
  <si>
    <t>Number of demolitions 2013 - 2018 reduced for Canterbury earthquakes</t>
  </si>
  <si>
    <t>10,000 houses after 2013 according to waste minimastion project</t>
  </si>
  <si>
    <t>Number of demolitions per year reduced for Canterbury earthquakes</t>
  </si>
  <si>
    <t>Expecting 20-26 tonnes of waste per demo</t>
  </si>
  <si>
    <t>Notes:</t>
  </si>
  <si>
    <t>Demolitions are largely unknown and unmonitored in New Zealand.</t>
  </si>
  <si>
    <t>Demolitions under 3 storeys do not require consent.</t>
  </si>
  <si>
    <t>Thus, the current state of residential demolitions in NZ was calculated through the change of the residential building stock and the number of new buildings being produced.</t>
  </si>
  <si>
    <t>The difference in these numbers is expected to be due to demolitions.</t>
  </si>
  <si>
    <t>However, the number of demolitions is expected to be affected by the Christchurch earthquakes, so this was accounted for in finding our expected norm in annual demolitions in New Zealand.</t>
  </si>
  <si>
    <t>Expect 20 - 26 tonnes of waste per year based on personal communications with industry experts and reports from Tamaki Regeneration.</t>
  </si>
  <si>
    <t>Sources:</t>
  </si>
  <si>
    <t>Building work that does not require a building consent</t>
  </si>
  <si>
    <t>https://www.building.govt.nz/assets/Uploads/projects-and-consents/building-work-consent-not-required-guidance.pdf</t>
  </si>
  <si>
    <t>Building consents by region (Annual-Dec)</t>
  </si>
  <si>
    <t>https://infoshare.stats.govt.nz</t>
  </si>
  <si>
    <t>2018 Census population and dwelling counts – amended 5-3-2020</t>
  </si>
  <si>
    <t>https://www.stats.govt.nz/information-releases/2018-census-population-and-dwelling-counts#update</t>
  </si>
  <si>
    <t>Housing life cycle and sustainability Part One No.214</t>
  </si>
  <si>
    <t>https://d39d3mj7qio96p.cloudfront.net/media/documents/SR214_Housing_life_cycle_and_sustainability_-_part_1.pdf</t>
  </si>
  <si>
    <t>Repurposing Tāmaki Houses House Deconstruction 2020-2021 Report 2</t>
  </si>
  <si>
    <t>MfE estimates on C&amp;D waste</t>
  </si>
  <si>
    <t>Composition of New Zealand C&amp;D landfill waste</t>
  </si>
  <si>
    <t>Residential construction waste estimates</t>
  </si>
  <si>
    <t>Residential waste summary</t>
  </si>
  <si>
    <t>End-of-life for residential construction and demolition waste</t>
  </si>
  <si>
    <t>Summary of Residential and non-residential waste estimates</t>
  </si>
  <si>
    <t>Construction and Demolition Waste (2019)</t>
  </si>
  <si>
    <t>Landfill Class</t>
  </si>
  <si>
    <t>3/4</t>
  </si>
  <si>
    <t>5</t>
  </si>
  <si>
    <t>Recovered</t>
  </si>
  <si>
    <t>Total Disposed</t>
  </si>
  <si>
    <t>Annual Disposal (tonnes)</t>
  </si>
  <si>
    <t>Auckland estimated C&amp;D landfill waste</t>
  </si>
  <si>
    <t>N.B. extrapolated Auckland estimate</t>
  </si>
  <si>
    <t xml:space="preserve">New Zealand estimated C&amp;D landfill waste </t>
  </si>
  <si>
    <t>N.B. extrapolated based on new and alteration value consent data</t>
  </si>
  <si>
    <t>Auckland percentage of consents 2020 and 2021</t>
  </si>
  <si>
    <t>%</t>
  </si>
  <si>
    <t>Provided by Auckland City Council</t>
  </si>
  <si>
    <t>Material</t>
  </si>
  <si>
    <t>Auckland C&amp;D waste</t>
  </si>
  <si>
    <t>NZ C&amp;D waste</t>
  </si>
  <si>
    <t>NZ C&amp;D waste using MfE estimation</t>
  </si>
  <si>
    <t>Proportions (%)</t>
  </si>
  <si>
    <t xml:space="preserve">Concrete, Masonry, Rubble etc. </t>
  </si>
  <si>
    <t>Other</t>
  </si>
  <si>
    <t>Paper</t>
  </si>
  <si>
    <t>Plastics</t>
  </si>
  <si>
    <t>BRANZ waste estimates by mass of material in building</t>
  </si>
  <si>
    <t>Main materials/products</t>
  </si>
  <si>
    <t>Construction site waste (% by mass over mass in building)</t>
  </si>
  <si>
    <t>Fate of construction site waste (% material by mass)</t>
  </si>
  <si>
    <t>Reuse</t>
  </si>
  <si>
    <t>Recycling</t>
  </si>
  <si>
    <t>Recovery (Energy)</t>
  </si>
  <si>
    <t>Landfill/ Clean fill</t>
  </si>
  <si>
    <t>Bricks/blocks</t>
  </si>
  <si>
    <t>Residential Building Envelope Waste Calculations</t>
  </si>
  <si>
    <t>Residential construction waste based on BRANZ estimates (4 tonnes)</t>
  </si>
  <si>
    <t>Estimated residential construction waste not from the building envelope</t>
  </si>
  <si>
    <t>(tonnes)</t>
  </si>
  <si>
    <t>Using same proportion of materials</t>
  </si>
  <si>
    <t>(total - envelope)</t>
  </si>
  <si>
    <t>Materials</t>
  </si>
  <si>
    <t>Material Estimate</t>
  </si>
  <si>
    <t>Total Material Use</t>
  </si>
  <si>
    <t>Waste Material</t>
  </si>
  <si>
    <t>Calculations based on residential construction</t>
  </si>
  <si>
    <t>Total Waste from building envelope</t>
  </si>
  <si>
    <t>Total Waste from residential builds</t>
  </si>
  <si>
    <t>Other waste from residential builds</t>
  </si>
  <si>
    <t>Alter years of construction to find effects</t>
  </si>
  <si>
    <t>on waste</t>
  </si>
  <si>
    <t>tonnes per residential build</t>
  </si>
  <si>
    <t>Residential Alteration Waste</t>
  </si>
  <si>
    <t>Residential Demolition Waste</t>
  </si>
  <si>
    <t>Using relation between Residential new builds</t>
  </si>
  <si>
    <t xml:space="preserve">Using expected mass of residential demolition waste </t>
  </si>
  <si>
    <t>and alterations based on value</t>
  </si>
  <si>
    <t>and proportions of materials in material estimation</t>
  </si>
  <si>
    <t>Total Waste from residential alterations</t>
  </si>
  <si>
    <t>Total Waste from residential demolition</t>
  </si>
  <si>
    <t>Envelope Waste</t>
  </si>
  <si>
    <t>Other Building Waste</t>
  </si>
  <si>
    <t>Alteration Waste</t>
  </si>
  <si>
    <t>Demolition Waste</t>
  </si>
  <si>
    <t>Total Waste (tonnes)</t>
  </si>
  <si>
    <t>Total Waste (m3)</t>
  </si>
  <si>
    <t>Waste Density</t>
  </si>
  <si>
    <t>kg/m3</t>
  </si>
  <si>
    <t>Total Residential waste</t>
  </si>
  <si>
    <t>Total waste</t>
  </si>
  <si>
    <t>Recycle</t>
  </si>
  <si>
    <t xml:space="preserve">Estimated non-residential structure waste </t>
  </si>
  <si>
    <t>based on value of non-residential sector and residential sector</t>
  </si>
  <si>
    <t>Total commercial structure waste</t>
  </si>
  <si>
    <t>Summary of residential and non-residential waste estimates</t>
  </si>
  <si>
    <t>Other Waste</t>
  </si>
  <si>
    <t>Demolition waste</t>
  </si>
  <si>
    <t xml:space="preserve">Non- residential </t>
  </si>
  <si>
    <t>total waste from residential and non residential structures</t>
  </si>
  <si>
    <t>Disposal methods for all non-residential and residential waste</t>
  </si>
  <si>
    <t>Auckland Region</t>
  </si>
  <si>
    <t>New Zealand</t>
  </si>
  <si>
    <t>All buildings</t>
  </si>
  <si>
    <t>Residential buildings</t>
  </si>
  <si>
    <t>Houses</t>
  </si>
  <si>
    <t>Apartments, townhouses, units, and other dwellings</t>
  </si>
  <si>
    <t>Non-residential buildings</t>
  </si>
  <si>
    <t>New</t>
  </si>
  <si>
    <t>Altered</t>
  </si>
  <si>
    <t>New plus altered</t>
  </si>
  <si>
    <t>Actual</t>
  </si>
  <si>
    <t>Number</t>
  </si>
  <si>
    <t>Value</t>
  </si>
  <si>
    <t>Floor area</t>
  </si>
  <si>
    <t>1966</t>
  </si>
  <si>
    <t>..</t>
  </si>
  <si>
    <t>1967</t>
  </si>
  <si>
    <t>1968</t>
  </si>
  <si>
    <t>1969</t>
  </si>
  <si>
    <t>1970</t>
  </si>
  <si>
    <t>1971</t>
  </si>
  <si>
    <t>1972</t>
  </si>
  <si>
    <t>1973</t>
  </si>
  <si>
    <t>1974</t>
  </si>
  <si>
    <t>1975</t>
  </si>
  <si>
    <t>1976</t>
  </si>
  <si>
    <t>1977</t>
  </si>
  <si>
    <t>1978</t>
  </si>
  <si>
    <t>1979</t>
  </si>
  <si>
    <t>1980</t>
  </si>
  <si>
    <t>1981</t>
  </si>
  <si>
    <t>1982</t>
  </si>
  <si>
    <t>1983</t>
  </si>
  <si>
    <t>1984</t>
  </si>
  <si>
    <t>1985</t>
  </si>
  <si>
    <t>1986</t>
  </si>
  <si>
    <t>1987</t>
  </si>
  <si>
    <t>1988</t>
  </si>
  <si>
    <t>1989</t>
  </si>
  <si>
    <t>1990</t>
  </si>
  <si>
    <t>1991</t>
  </si>
  <si>
    <t>1992</t>
  </si>
  <si>
    <t>1993</t>
  </si>
  <si>
    <t>1994</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</si>
  <si>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</si>
  <si>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</si>
  <si>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</si>
  <si>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</si>
  <si>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</si>
  <si>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</si>
  <si>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</si>
  <si>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</si>
  <si>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</si>
  <si>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</si>
  <si>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</si>
  <si>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</si>
  <si>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</si>
  <si>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</si>
  <si>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</si>
  <si>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</si>
  <si>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</si>
  <si>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</si>
  <si>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</si>
  <si>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</si>
  <si>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</si>
  <si>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</si>
  <si>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</si>
  <si>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</si>
  <si>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</si>
  <si>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</si>
  <si>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2021</t>
  </si>
  <si>
    <r>
      <t>Table information:</t>
    </r>
    <r>
      <rPr>
        <sz val="11"/>
        <rFont val="Calibri"/>
        <family val="2"/>
        <scheme val="minor"/>
      </rPr>
      <t xml:space="preserve"> </t>
    </r>
  </si>
  <si>
    <t>Units:</t>
  </si>
  <si>
    <t>Number: Number, Magnitude = Units</t>
  </si>
  <si>
    <t>Residential</t>
  </si>
  <si>
    <t>Commercial</t>
  </si>
  <si>
    <t>Value: $, Magnitude = Units</t>
  </si>
  <si>
    <t>value 2021</t>
  </si>
  <si>
    <t>Floor area: SQM, Magnitude = Units</t>
  </si>
  <si>
    <t>percentage</t>
  </si>
  <si>
    <t>Footnotes:</t>
  </si>
  <si>
    <t>Values include GST. From 1 September 1989, consents below $5,000 are excluded.</t>
  </si>
  <si>
    <t>Floor areas are for new buildings only and are imputed when they are not included on consents.</t>
  </si>
  <si>
    <t>Non-building construction is works that require building consents but are not buildings, such as retaining walls and swimming pools. Many civil engineering works, such as roads, require resource consents but not building consents, so are excluded.</t>
  </si>
  <si>
    <t>Regional council areas are as at 2021.</t>
  </si>
  <si>
    <t>Each dwelling in a housing project or apartment block is counted separately.</t>
  </si>
  <si>
    <t>For staged consents, values are recorded at each stage but floor areas and unit counts are normally recorded at the largest stage.</t>
  </si>
  <si>
    <t>Residential alterations includes relocated dwellings, and new domestic outbuildings such as garages and sheds on residential sections.</t>
  </si>
  <si>
    <t>Symbols:</t>
  </si>
  <si>
    <t>.. figure not available</t>
  </si>
  <si>
    <t>C: Confidential</t>
  </si>
  <si>
    <t>E: Early Estimate</t>
  </si>
  <si>
    <t>P: Provisional</t>
  </si>
  <si>
    <t>R: Revised</t>
  </si>
  <si>
    <t>S: Suppressed</t>
  </si>
  <si>
    <t>Status flags are not displayed</t>
  </si>
  <si>
    <t>Table reference:</t>
  </si>
  <si>
    <t>BLD119AA</t>
  </si>
  <si>
    <t>Last updated:</t>
  </si>
  <si>
    <t>Number: 31 May 2022 10:45am</t>
  </si>
  <si>
    <t>Value: 31 May 2022 10:45am</t>
  </si>
  <si>
    <t>Floor area: 31 May 2022 10:45am</t>
  </si>
  <si>
    <t>Source: Statistics New Zealand</t>
  </si>
  <si>
    <t>Factories and other industrial buildings</t>
  </si>
  <si>
    <t>Farm buildings</t>
  </si>
  <si>
    <t>Hospices, rest homes, and retirement villages (excluding units)</t>
  </si>
  <si>
    <t>Hospitals</t>
  </si>
  <si>
    <t>Hostels, boarding houses, and other long-term accommodation</t>
  </si>
  <si>
    <t>Hotels, motels, and other short-term accommodation</t>
  </si>
  <si>
    <t>Marae</t>
  </si>
  <si>
    <t>Museums, art galleries, and libraries</t>
  </si>
  <si>
    <t>Office and administration buildings</t>
  </si>
  <si>
    <t>Other cultural, social, and entertainment buildings</t>
  </si>
  <si>
    <t>Other health buildings</t>
  </si>
  <si>
    <t>Other shops and retail buildings</t>
  </si>
  <si>
    <t>Pre-school education buildings</t>
  </si>
  <si>
    <t>Prisons</t>
  </si>
  <si>
    <t>Public transport buildings</t>
  </si>
  <si>
    <t>Religious buildings</t>
  </si>
  <si>
    <t>Restaurants, bars, and cafes</t>
  </si>
  <si>
    <t>School buildings</t>
  </si>
  <si>
    <t>Sports facilities</t>
  </si>
  <si>
    <t>Storage buildings</t>
  </si>
  <si>
    <t>Supermarkets</t>
  </si>
  <si>
    <t>Tertiary and other education buildings</t>
  </si>
  <si>
    <t>Utility buildings, e.g., electricity, water transmission</t>
  </si>
  <si>
    <t>Year (ending dec)</t>
  </si>
  <si>
    <t>Consents (#)</t>
  </si>
  <si>
    <t>VALUE ($)</t>
  </si>
  <si>
    <t>Floor Area (m2)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</si>
</sst>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0.000"/>
    <numFmt numFmtId="165" formatCode="0.00000"/>
    <numFmt numFmtId="166" formatCode="0.0000"/>
    <numFmt numFmtId="167" formatCode="0.0"/>
    <numFmt numFmtId="168" formatCode="#,##0.000"/>
    <numFmt numFmtId="169" formatCode="#,##0.00000"/>
    <numFmt numFmtId="170" formatCode="#,##0.0"/>
    <numFmt numFmtId="171" formatCode="#,##0.0000"/>
    <numFmt numFmtId="172" formatCode="[$-1409]d\ mmmm\ yyyy;@"/>
  </numFmts>
  <fonts count="15">
    <font>
      <sz val="11"/>
      <color theme="1"/>
      <name val="Calibri"/>
      <family val="2"/>
      <scheme val="minor"/>
    </font>
    <font>
      <sz val="11"/>
      <color theme="1"/>
      <name val="Calibri"/>
      <family val="2"/>
      <scheme val="minor"/>
    </font>
    <font>
      <b/>
      <sz val="11"/>
      <color theme="1"/>
      <name val="Calibri"/>
      <family val="2"/>
      <scheme val="minor"/>
    </font>
    <font>
      <sz val="11"/>
      <color theme="1"/>
      <name val="Arial"/>
      <family val="2"/>
    </font>
    <font>
      <sz val="11"/>
      <color theme="1"/>
      <name val="Calibri"/>
      <family val="2"/>
    </font>
    <font>
      <b/>
      <sz val="11"/>
      <color theme="1"/>
      <name val="Calibri"/>
      <family val="2"/>
    </font>
    <font>
      <u/>
      <sz val="11"/>
      <color theme="10"/>
      <name val="Calibri"/>
      <family val="2"/>
      <scheme val="minor"/>
    </font>
    <font>
      <b/>
      <sz val="11"/>
      <color theme="1"/>
      <name val="Arial"/>
      <family val="2"/>
    </font>
    <font>
      <b/>
      <i/>
      <sz val="11"/>
      <color theme="1"/>
      <name val="Calibri"/>
      <family val="2"/>
      <scheme val="minor"/>
    </font>
    <font>
      <b/>
      <sz val="11"/>
      <name val="Calibri"/>
      <family val="2"/>
      <scheme val="minor"/>
    </font>
    <font>
      <sz val="11"/>
      <name val="Calibri"/>
      <family val="2"/>
      <scheme val="minor"/>
    </font>
    <font>
      <u/>
      <sz val="11"/>
      <name val="Calibri"/>
      <family val="2"/>
      <scheme val="minor"/>
    </font>
    <font>
      <b/>
      <u/>
      <sz val="11"/>
      <color theme="1"/>
      <name val="Calibri"/>
      <family val="2"/>
      <scheme val="minor"/>
    </font>
    <font>
      <u/>
      <sz val="11"/>
      <color theme="1"/>
      <name val="Calibri"/>
      <family val="2"/>
      <scheme val="minor"/>
    </font>
    <font>
      <u/>
      <sz val="11"/>
      <color theme="1"/>
      <name val="Calibri (Body)"/>
    </font>
  </fonts>
  <fills count="12">
    <fill>
      <patternFill patternType="none"/>
    </fill>
    <fill>
      <patternFill patternType="gray125"/>
    </fill>
    <fill>
      <patternFill patternType="solid">
        <fgColor theme="6" tint="0.79998168889431442"/>
        <bgColor indexed="65"/>
      </patternFill>
    </fill>
    <fill>
      <patternFill patternType="solid">
        <fgColor theme="2"/>
        <bgColor indexed="64"/>
      </patternFill>
    </fill>
    <fill>
      <patternFill patternType="solid">
        <fgColor rgb="FFE7E6E6"/>
        <bgColor indexed="64"/>
      </patternFill>
    </fill>
    <fill>
      <patternFill patternType="solid">
        <fgColor theme="5" tint="0.79998168889431442"/>
        <bgColor indexed="64"/>
      </patternFill>
    </fill>
    <fill>
      <patternFill patternType="solid">
        <fgColor theme="7" tint="0.39997558519241921"/>
        <bgColor indexed="64"/>
      </patternFill>
    </fill>
    <fill>
      <patternFill patternType="solid">
        <fgColor theme="0"/>
        <bgColor indexed="64"/>
      </patternFill>
    </fill>
    <fill>
      <patternFill patternType="solid">
        <fgColor theme="0" tint="-4.9989318521683403E-2"/>
        <bgColor indexed="64"/>
      </patternFill>
    </fill>
    <fill>
      <patternFill patternType="solid">
        <fgColor rgb="FF92D050"/>
        <bgColor indexed="64"/>
      </patternFill>
    </fill>
    <fill>
      <patternFill patternType="solid">
        <fgColor rgb="FFFF2121"/>
        <bgColor indexed="64"/>
      </patternFill>
    </fill>
    <fill>
      <patternFill patternType="solid">
        <fgColor theme="5"/>
        <bgColor indexed="64"/>
      </patternFill>
    </fill>
  </fills>
  <borders count="30">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indexed="64"/>
      </right>
      <top/>
      <bottom/>
      <diagonal/>
    </border>
    <border>
      <left style="thin">
        <color auto="1"/>
      </left>
      <right style="thin">
        <color auto="1"/>
      </right>
      <top style="thin">
        <color auto="1"/>
      </top>
      <bottom/>
      <diagonal/>
    </border>
    <border>
      <left style="thin">
        <color indexed="64"/>
      </left>
      <right style="thin">
        <color indexed="64"/>
      </right>
      <top/>
      <bottom style="thin">
        <color indexed="64"/>
      </bottom>
      <diagonal/>
    </border>
    <border>
      <left style="medium">
        <color auto="1"/>
      </left>
      <right/>
      <top style="medium">
        <color auto="1"/>
      </top>
      <bottom/>
      <diagonal/>
    </border>
    <border>
      <left/>
      <right/>
      <top style="medium">
        <color indexed="64"/>
      </top>
      <bottom/>
      <diagonal/>
    </border>
    <border>
      <left/>
      <right style="medium">
        <color auto="1"/>
      </right>
      <top style="medium">
        <color auto="1"/>
      </top>
      <bottom/>
      <diagonal/>
    </border>
    <border>
      <left style="medium">
        <color indexed="64"/>
      </left>
      <right/>
      <top/>
      <bottom/>
      <diagonal/>
    </border>
    <border>
      <left/>
      <right style="medium">
        <color indexed="64"/>
      </right>
      <top/>
      <bottom/>
      <diagonal/>
    </border>
    <border>
      <left style="medium">
        <color auto="1"/>
      </left>
      <right/>
      <top/>
      <bottom style="medium">
        <color auto="1"/>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0" fontId="1" fillId="2" borderId="0" applyNumberFormat="0" applyBorder="0" applyAlignment="0" applyProtection="0"/>
    <xf numFmtId="0" fontId="2" fillId="0" borderId="2" applyFont="0" applyAlignment="0">
      <alignment horizontal="center" vertical="center" wrapText="1"/>
    </xf>
    <xf numFmtId="0" fontId="6" fillId="0" borderId="0" applyNumberFormat="0" applyFill="0" applyBorder="0" applyAlignment="0" applyProtection="0"/>
  </cellStyleXfs>
  <cellXfs count="320">
    <xf numFmtId="0" fontId="0" fillId="0" borderId="0" xfId="0"/>
    <xf numFmtId="0" fontId="2" fillId="0" borderId="0" xfId="0" applyFont="1"/>
    <xf numFmtId="0" fontId="0" fillId="3" borderId="5" xfId="0" applyFill="1" applyBorder="1"/>
    <xf numFmtId="2" fontId="0" fillId="3" borderId="5" xfId="0" applyNumberFormat="1" applyFill="1" applyBorder="1"/>
    <xf numFmtId="0" fontId="0" fillId="3" borderId="0" xfId="0" applyFill="1"/>
    <xf numFmtId="0" fontId="2" fillId="0" borderId="0" xfId="0" applyFont="1" applyAlignment="1">
      <alignment horizontal="center"/>
    </xf>
    <xf numFmtId="0" fontId="0" fillId="3" borderId="4" xfId="0" applyFill="1" applyBorder="1"/>
    <xf numFmtId="2" fontId="0" fillId="3" borderId="0" xfId="0" applyNumberFormat="1" applyFill="1"/>
    <xf numFmtId="164" fontId="0" fillId="3" borderId="5" xfId="0" applyNumberFormat="1" applyFill="1" applyBorder="1"/>
    <xf numFmtId="0" fontId="0" fillId="3" borderId="0" xfId="0" applyFill="1" applyAlignment="1">
      <alignment horizontal="left"/>
    </xf>
    <xf numFmtId="1" fontId="0" fillId="3" borderId="5" xfId="0" applyNumberFormat="1" applyFill="1" applyBorder="1"/>
    <xf numFmtId="0" fontId="2" fillId="3" borderId="4" xfId="0" applyFont="1" applyFill="1" applyBorder="1" applyAlignment="1">
      <alignment horizontal="center" vertical="center"/>
    </xf>
    <xf numFmtId="166" fontId="0" fillId="3" borderId="5" xfId="0" applyNumberFormat="1" applyFill="1" applyBorder="1"/>
    <xf numFmtId="167" fontId="0" fillId="3" borderId="5" xfId="0" applyNumberFormat="1" applyFill="1" applyBorder="1"/>
    <xf numFmtId="167" fontId="0" fillId="3" borderId="8" xfId="0" applyNumberFormat="1" applyFill="1" applyBorder="1"/>
    <xf numFmtId="0" fontId="2" fillId="3" borderId="4" xfId="0" applyFont="1" applyFill="1" applyBorder="1" applyAlignment="1">
      <alignment vertical="center" wrapText="1"/>
    </xf>
    <xf numFmtId="3" fontId="0" fillId="3" borderId="5" xfId="0" applyNumberFormat="1" applyFill="1" applyBorder="1"/>
    <xf numFmtId="2" fontId="2" fillId="0" borderId="0" xfId="0" applyNumberFormat="1" applyFont="1" applyAlignment="1">
      <alignment vertical="center"/>
    </xf>
    <xf numFmtId="0" fontId="2" fillId="0" borderId="0" xfId="0" applyFont="1" applyAlignment="1">
      <alignment vertical="center" wrapText="1"/>
    </xf>
    <xf numFmtId="2" fontId="0" fillId="0" borderId="0" xfId="0" applyNumberFormat="1"/>
    <xf numFmtId="0" fontId="2" fillId="3" borderId="2" xfId="0" applyFont="1" applyFill="1" applyBorder="1" applyAlignment="1">
      <alignment vertical="center"/>
    </xf>
    <xf numFmtId="2" fontId="2" fillId="3" borderId="2" xfId="0" applyNumberFormat="1" applyFont="1" applyFill="1" applyBorder="1" applyAlignment="1">
      <alignment vertical="center"/>
    </xf>
    <xf numFmtId="0" fontId="2" fillId="3" borderId="2" xfId="0" applyFont="1" applyFill="1" applyBorder="1" applyAlignment="1">
      <alignment vertical="center" wrapText="1"/>
    </xf>
    <xf numFmtId="0" fontId="2" fillId="3" borderId="3" xfId="0" applyFont="1" applyFill="1" applyBorder="1" applyAlignment="1">
      <alignment vertical="center"/>
    </xf>
    <xf numFmtId="0" fontId="2" fillId="3" borderId="1" xfId="0" applyFont="1" applyFill="1" applyBorder="1"/>
    <xf numFmtId="0" fontId="2" fillId="3" borderId="2" xfId="0" applyFont="1" applyFill="1" applyBorder="1"/>
    <xf numFmtId="0" fontId="2" fillId="3" borderId="3" xfId="0" applyFont="1" applyFill="1" applyBorder="1"/>
    <xf numFmtId="2" fontId="0" fillId="3" borderId="0" xfId="0" applyNumberFormat="1" applyFill="1" applyAlignment="1">
      <alignment vertical="center"/>
    </xf>
    <xf numFmtId="9" fontId="0" fillId="3" borderId="0" xfId="0" applyNumberFormat="1" applyFill="1" applyAlignment="1">
      <alignment vertical="center" wrapText="1"/>
    </xf>
    <xf numFmtId="0" fontId="0" fillId="3" borderId="0" xfId="0" applyFill="1" applyAlignment="1">
      <alignment vertical="center" wrapText="1"/>
    </xf>
    <xf numFmtId="9" fontId="0" fillId="3" borderId="0" xfId="0" applyNumberFormat="1" applyFill="1"/>
    <xf numFmtId="0" fontId="2" fillId="3" borderId="2" xfId="0" applyFont="1" applyFill="1" applyBorder="1" applyAlignment="1">
      <alignment horizontal="right"/>
    </xf>
    <xf numFmtId="167" fontId="2" fillId="3" borderId="2" xfId="0" applyNumberFormat="1" applyFont="1" applyFill="1" applyBorder="1"/>
    <xf numFmtId="2" fontId="2" fillId="3" borderId="3" xfId="0" applyNumberFormat="1" applyFont="1" applyFill="1" applyBorder="1"/>
    <xf numFmtId="0" fontId="2" fillId="3" borderId="7" xfId="0" applyFont="1" applyFill="1" applyBorder="1"/>
    <xf numFmtId="0" fontId="0" fillId="3" borderId="7" xfId="0" applyFill="1" applyBorder="1"/>
    <xf numFmtId="1" fontId="2" fillId="3" borderId="3" xfId="0" applyNumberFormat="1" applyFont="1" applyFill="1" applyBorder="1"/>
    <xf numFmtId="0" fontId="0" fillId="0" borderId="0" xfId="0" applyAlignment="1">
      <alignment horizontal="center"/>
    </xf>
    <xf numFmtId="3" fontId="0" fillId="0" borderId="0" xfId="0" applyNumberFormat="1"/>
    <xf numFmtId="3" fontId="0" fillId="0" borderId="10" xfId="2" applyNumberFormat="1" applyFont="1" applyBorder="1" applyAlignment="1"/>
    <xf numFmtId="3" fontId="0" fillId="0" borderId="7" xfId="2" applyNumberFormat="1" applyFont="1" applyBorder="1" applyAlignment="1"/>
    <xf numFmtId="3" fontId="0" fillId="0" borderId="0" xfId="2" applyNumberFormat="1" applyFont="1" applyBorder="1" applyAlignment="1"/>
    <xf numFmtId="0" fontId="2" fillId="0" borderId="2" xfId="0" applyFont="1" applyBorder="1"/>
    <xf numFmtId="0" fontId="0" fillId="0" borderId="2" xfId="0" applyBorder="1"/>
    <xf numFmtId="168" fontId="0" fillId="0" borderId="2" xfId="2" applyNumberFormat="1" applyFont="1" applyAlignment="1"/>
    <xf numFmtId="0" fontId="2" fillId="0" borderId="0" xfId="0" applyFont="1" applyAlignment="1">
      <alignment vertical="center"/>
    </xf>
    <xf numFmtId="0" fontId="2" fillId="0" borderId="7" xfId="0" applyFont="1" applyBorder="1" applyAlignment="1">
      <alignment horizontal="center" vertical="center"/>
    </xf>
    <xf numFmtId="0" fontId="2" fillId="0" borderId="6" xfId="0" applyFont="1" applyBorder="1" applyAlignment="1">
      <alignment horizontal="center" vertical="center"/>
    </xf>
    <xf numFmtId="0" fontId="2" fillId="0" borderId="8" xfId="0" applyFont="1" applyBorder="1" applyAlignment="1">
      <alignment horizontal="center" vertical="center"/>
    </xf>
    <xf numFmtId="4" fontId="0" fillId="0" borderId="0" xfId="0" applyNumberFormat="1"/>
    <xf numFmtId="3" fontId="0" fillId="0" borderId="7" xfId="0" applyNumberFormat="1" applyBorder="1"/>
    <xf numFmtId="4" fontId="0" fillId="0" borderId="7" xfId="0" applyNumberFormat="1" applyBorder="1"/>
    <xf numFmtId="3" fontId="0" fillId="0" borderId="0" xfId="0" applyNumberFormat="1" applyAlignment="1">
      <alignment horizontal="center"/>
    </xf>
    <xf numFmtId="3" fontId="0" fillId="0" borderId="0" xfId="0" applyNumberFormat="1" applyAlignment="1">
      <alignment horizontal="right" vertical="center"/>
    </xf>
    <xf numFmtId="3" fontId="0" fillId="0" borderId="0" xfId="0" applyNumberFormat="1" applyAlignment="1">
      <alignment horizontal="center" vertical="center"/>
    </xf>
    <xf numFmtId="3" fontId="0" fillId="0" borderId="7" xfId="0" applyNumberFormat="1" applyBorder="1" applyAlignment="1">
      <alignment horizontal="right" vertical="center"/>
    </xf>
    <xf numFmtId="0" fontId="2" fillId="3" borderId="0" xfId="0" applyFont="1" applyFill="1"/>
    <xf numFmtId="167" fontId="2" fillId="3" borderId="5" xfId="0" applyNumberFormat="1" applyFont="1" applyFill="1" applyBorder="1"/>
    <xf numFmtId="3" fontId="0" fillId="0" borderId="0" xfId="0" applyNumberFormat="1" applyAlignment="1">
      <alignment vertical="center"/>
    </xf>
    <xf numFmtId="3" fontId="0" fillId="0" borderId="10" xfId="0" applyNumberFormat="1" applyBorder="1"/>
    <xf numFmtId="2" fontId="0" fillId="0" borderId="7" xfId="0" applyNumberFormat="1" applyBorder="1"/>
    <xf numFmtId="3" fontId="2" fillId="3" borderId="8" xfId="0" applyNumberFormat="1" applyFont="1" applyFill="1" applyBorder="1"/>
    <xf numFmtId="0" fontId="2" fillId="4" borderId="0" xfId="0" applyFont="1" applyFill="1" applyAlignment="1">
      <alignment horizontal="center" vertical="center"/>
    </xf>
    <xf numFmtId="3" fontId="0" fillId="0" borderId="8" xfId="0" applyNumberFormat="1" applyBorder="1" applyAlignment="1">
      <alignment horizontal="center" vertical="center"/>
    </xf>
    <xf numFmtId="165" fontId="0" fillId="3" borderId="5" xfId="0" applyNumberFormat="1" applyFill="1" applyBorder="1"/>
    <xf numFmtId="2" fontId="0" fillId="0" borderId="10" xfId="0" applyNumberFormat="1" applyBorder="1"/>
    <xf numFmtId="2" fontId="0" fillId="0" borderId="2" xfId="0" applyNumberFormat="1" applyBorder="1"/>
    <xf numFmtId="0" fontId="2" fillId="5" borderId="0" xfId="0" applyFont="1" applyFill="1"/>
    <xf numFmtId="0" fontId="0" fillId="5" borderId="0" xfId="0" applyFill="1"/>
    <xf numFmtId="1" fontId="0" fillId="0" borderId="0" xfId="0" applyNumberFormat="1"/>
    <xf numFmtId="167" fontId="2" fillId="3" borderId="3" xfId="0" applyNumberFormat="1" applyFont="1" applyFill="1" applyBorder="1"/>
    <xf numFmtId="0" fontId="0" fillId="3" borderId="9" xfId="0" applyFill="1" applyBorder="1"/>
    <xf numFmtId="0" fontId="0" fillId="3" borderId="10" xfId="0" applyFill="1" applyBorder="1"/>
    <xf numFmtId="0" fontId="0" fillId="3" borderId="11" xfId="0" applyFill="1" applyBorder="1"/>
    <xf numFmtId="167" fontId="2" fillId="3" borderId="10" xfId="0" applyNumberFormat="1" applyFont="1" applyFill="1" applyBorder="1"/>
    <xf numFmtId="167" fontId="2" fillId="3" borderId="11" xfId="0" applyNumberFormat="1" applyFont="1" applyFill="1" applyBorder="1"/>
    <xf numFmtId="0" fontId="0" fillId="0" borderId="0" xfId="0" applyAlignment="1">
      <alignment vertical="center"/>
    </xf>
    <xf numFmtId="170" fontId="0" fillId="0" borderId="0" xfId="0" applyNumberFormat="1"/>
    <xf numFmtId="0" fontId="0" fillId="0" borderId="18" xfId="0" applyBorder="1"/>
    <xf numFmtId="0" fontId="0" fillId="0" borderId="19" xfId="0" applyBorder="1"/>
    <xf numFmtId="0" fontId="0" fillId="0" borderId="20" xfId="0" applyBorder="1"/>
    <xf numFmtId="3" fontId="0" fillId="0" borderId="21" xfId="0" applyNumberFormat="1" applyBorder="1"/>
    <xf numFmtId="3" fontId="0" fillId="0" borderId="22" xfId="0" applyNumberFormat="1" applyBorder="1"/>
    <xf numFmtId="0" fontId="0" fillId="0" borderId="20" xfId="0"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24" xfId="0" applyBorder="1"/>
    <xf numFmtId="0" fontId="0" fillId="0" borderId="25" xfId="0" applyBorder="1"/>
    <xf numFmtId="0" fontId="0" fillId="0" borderId="21" xfId="0" applyBorder="1"/>
    <xf numFmtId="0" fontId="0" fillId="0" borderId="22" xfId="0" applyBorder="1"/>
    <xf numFmtId="0" fontId="0" fillId="0" borderId="26" xfId="0"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3" fontId="0" fillId="0" borderId="24" xfId="0" applyNumberFormat="1" applyBorder="1"/>
    <xf numFmtId="3" fontId="0" fillId="0" borderId="25" xfId="0" applyNumberFormat="1" applyBorder="1"/>
    <xf numFmtId="0" fontId="0" fillId="0" borderId="29" xfId="0" applyBorder="1" applyAlignment="1">
      <alignment horizontal="center"/>
    </xf>
    <xf numFmtId="3" fontId="0" fillId="0" borderId="18" xfId="0" applyNumberFormat="1" applyBorder="1"/>
    <xf numFmtId="3" fontId="0" fillId="0" borderId="19" xfId="0" applyNumberFormat="1" applyBorder="1"/>
    <xf numFmtId="3" fontId="0" fillId="0" borderId="20" xfId="0" applyNumberFormat="1" applyBorder="1"/>
    <xf numFmtId="3" fontId="0" fillId="0" borderId="28" xfId="0" applyNumberFormat="1" applyBorder="1" applyAlignment="1">
      <alignment horizontal="center"/>
    </xf>
    <xf numFmtId="3" fontId="0" fillId="0" borderId="28" xfId="0" applyNumberFormat="1" applyBorder="1"/>
    <xf numFmtId="0" fontId="2" fillId="0" borderId="26" xfId="0" applyFont="1" applyBorder="1" applyAlignment="1">
      <alignment horizontal="center"/>
    </xf>
    <xf numFmtId="0" fontId="2" fillId="0" borderId="18" xfId="0" applyFont="1" applyBorder="1"/>
    <xf numFmtId="0" fontId="2" fillId="0" borderId="20" xfId="0" applyFont="1" applyBorder="1"/>
    <xf numFmtId="0" fontId="8" fillId="0" borderId="0" xfId="0" applyFont="1"/>
    <xf numFmtId="0" fontId="2" fillId="0" borderId="0" xfId="0" applyFont="1" applyAlignment="1">
      <alignment horizontal="left"/>
    </xf>
    <xf numFmtId="0" fontId="10" fillId="0" borderId="0" xfId="0" applyFont="1"/>
    <xf numFmtId="49" fontId="9" fillId="0" borderId="0" xfId="0" applyNumberFormat="1" applyFont="1" applyAlignment="1">
      <alignment horizontal="center" vertical="center" wrapText="1"/>
    </xf>
    <xf numFmtId="49" fontId="10" fillId="0" borderId="0" xfId="0" applyNumberFormat="1" applyFont="1" applyAlignment="1">
      <alignment vertical="center" wrapText="1"/>
    </xf>
    <xf numFmtId="3" fontId="10" fillId="0" borderId="0" xfId="0" applyNumberFormat="1" applyFont="1"/>
    <xf numFmtId="0" fontId="9" fillId="0" borderId="0" xfId="0" applyFont="1"/>
    <xf numFmtId="0" fontId="9" fillId="0" borderId="0" xfId="0" applyFont="1" applyAlignment="1">
      <alignment wrapText="1"/>
    </xf>
    <xf numFmtId="0" fontId="10" fillId="0" borderId="0" xfId="0" applyFont="1" applyAlignment="1">
      <alignment wrapText="1"/>
    </xf>
    <xf numFmtId="0" fontId="11" fillId="0" borderId="0" xfId="3" applyFont="1" applyAlignment="1"/>
    <xf numFmtId="0" fontId="11" fillId="0" borderId="0" xfId="3" applyFont="1" applyAlignment="1">
      <alignment wrapText="1"/>
    </xf>
    <xf numFmtId="3" fontId="0" fillId="0" borderId="0" xfId="0" applyNumberFormat="1" applyAlignment="1">
      <alignment horizontal="left"/>
    </xf>
    <xf numFmtId="0" fontId="9" fillId="0" borderId="23" xfId="0" applyFont="1" applyBorder="1"/>
    <xf numFmtId="0" fontId="10" fillId="0" borderId="26" xfId="0" applyFont="1" applyBorder="1"/>
    <xf numFmtId="3" fontId="0" fillId="0" borderId="27" xfId="0" applyNumberFormat="1" applyBorder="1" applyAlignment="1">
      <alignment horizontal="center"/>
    </xf>
    <xf numFmtId="0" fontId="0" fillId="0" borderId="29" xfId="0" applyBorder="1"/>
    <xf numFmtId="0" fontId="0" fillId="0" borderId="27" xfId="0" applyBorder="1"/>
    <xf numFmtId="3" fontId="0" fillId="0" borderId="27" xfId="0" applyNumberFormat="1" applyBorder="1"/>
    <xf numFmtId="3" fontId="0" fillId="0" borderId="29" xfId="0" applyNumberFormat="1" applyBorder="1"/>
    <xf numFmtId="3" fontId="2" fillId="0" borderId="16" xfId="0" applyNumberFormat="1" applyFont="1" applyBorder="1" applyAlignment="1">
      <alignment horizontal="center"/>
    </xf>
    <xf numFmtId="0" fontId="0" fillId="0" borderId="0" xfId="0" applyAlignment="1">
      <alignment horizontal="left"/>
    </xf>
    <xf numFmtId="0" fontId="0" fillId="0" borderId="29" xfId="0" applyBorder="1" applyAlignment="1">
      <alignment horizontal="left"/>
    </xf>
    <xf numFmtId="0" fontId="0" fillId="0" borderId="28" xfId="0" applyBorder="1"/>
    <xf numFmtId="4" fontId="0" fillId="0" borderId="24" xfId="0" applyNumberFormat="1" applyBorder="1"/>
    <xf numFmtId="0" fontId="2" fillId="0" borderId="23" xfId="0" applyFont="1" applyBorder="1" applyAlignment="1">
      <alignment horizontal="center"/>
    </xf>
    <xf numFmtId="3" fontId="2" fillId="0" borderId="17" xfId="0" applyNumberFormat="1" applyFont="1" applyBorder="1" applyAlignment="1">
      <alignment horizontal="center"/>
    </xf>
    <xf numFmtId="0" fontId="2" fillId="0" borderId="0" xfId="0" applyFont="1" applyAlignment="1">
      <alignment horizontal="center" vertical="center"/>
    </xf>
    <xf numFmtId="0" fontId="0" fillId="0" borderId="26" xfId="0" applyBorder="1"/>
    <xf numFmtId="2" fontId="0" fillId="5" borderId="0" xfId="0" applyNumberFormat="1" applyFill="1"/>
    <xf numFmtId="2" fontId="0" fillId="0" borderId="4" xfId="0" applyNumberFormat="1" applyBorder="1"/>
    <xf numFmtId="2" fontId="0" fillId="5" borderId="4" xfId="0" applyNumberFormat="1" applyFill="1" applyBorder="1"/>
    <xf numFmtId="2" fontId="0" fillId="5" borderId="5" xfId="0" applyNumberFormat="1" applyFill="1" applyBorder="1"/>
    <xf numFmtId="2" fontId="0" fillId="0" borderId="5" xfId="0" applyNumberFormat="1" applyBorder="1"/>
    <xf numFmtId="0" fontId="0" fillId="0" borderId="0" xfId="0" quotePrefix="1"/>
    <xf numFmtId="170" fontId="10" fillId="0" borderId="0" xfId="0" applyNumberFormat="1" applyFont="1" applyAlignment="1">
      <alignment wrapText="1"/>
    </xf>
    <xf numFmtId="170" fontId="10" fillId="0" borderId="0" xfId="0" applyNumberFormat="1" applyFont="1"/>
    <xf numFmtId="170" fontId="9" fillId="0" borderId="0" xfId="0" applyNumberFormat="1" applyFont="1" applyAlignment="1">
      <alignment wrapText="1"/>
    </xf>
    <xf numFmtId="1" fontId="2" fillId="0" borderId="0" xfId="0" applyNumberFormat="1" applyFont="1" applyAlignment="1">
      <alignment horizontal="center" vertical="center"/>
    </xf>
    <xf numFmtId="0" fontId="0" fillId="7" borderId="0" xfId="0" applyFill="1"/>
    <xf numFmtId="0" fontId="2" fillId="7" borderId="0" xfId="0" applyFont="1" applyFill="1"/>
    <xf numFmtId="0" fontId="0" fillId="7" borderId="7" xfId="0" applyFill="1" applyBorder="1"/>
    <xf numFmtId="0" fontId="2" fillId="7" borderId="7" xfId="0" applyFont="1" applyFill="1" applyBorder="1"/>
    <xf numFmtId="3" fontId="0" fillId="7" borderId="0" xfId="0" applyNumberFormat="1" applyFill="1"/>
    <xf numFmtId="3" fontId="0" fillId="7" borderId="7" xfId="0" applyNumberFormat="1" applyFill="1" applyBorder="1"/>
    <xf numFmtId="0" fontId="2" fillId="7" borderId="2" xfId="0" applyFont="1" applyFill="1" applyBorder="1" applyAlignment="1">
      <alignment vertical="center"/>
    </xf>
    <xf numFmtId="3" fontId="0" fillId="7" borderId="2" xfId="0" applyNumberFormat="1" applyFill="1" applyBorder="1"/>
    <xf numFmtId="0" fontId="2" fillId="7" borderId="0" xfId="0" applyFont="1" applyFill="1" applyAlignment="1">
      <alignment vertical="center"/>
    </xf>
    <xf numFmtId="0" fontId="2" fillId="7" borderId="7" xfId="0" applyFont="1" applyFill="1" applyBorder="1" applyAlignment="1">
      <alignment vertical="center"/>
    </xf>
    <xf numFmtId="0" fontId="0" fillId="7" borderId="2" xfId="0" applyFill="1" applyBorder="1"/>
    <xf numFmtId="0" fontId="2" fillId="7" borderId="2" xfId="0" applyFont="1" applyFill="1" applyBorder="1"/>
    <xf numFmtId="0" fontId="2" fillId="8" borderId="10" xfId="0" applyFont="1" applyFill="1" applyBorder="1" applyAlignment="1">
      <alignment vertical="center"/>
    </xf>
    <xf numFmtId="0" fontId="0" fillId="8" borderId="10" xfId="0" applyFill="1" applyBorder="1" applyAlignment="1">
      <alignment vertical="center"/>
    </xf>
    <xf numFmtId="3" fontId="0" fillId="8" borderId="10" xfId="0" applyNumberFormat="1" applyFill="1" applyBorder="1"/>
    <xf numFmtId="0" fontId="2" fillId="8" borderId="2" xfId="0" applyFont="1" applyFill="1" applyBorder="1" applyAlignment="1">
      <alignment vertical="center"/>
    </xf>
    <xf numFmtId="0" fontId="0" fillId="8" borderId="2" xfId="0" applyFill="1" applyBorder="1" applyAlignment="1">
      <alignment vertical="center"/>
    </xf>
    <xf numFmtId="3" fontId="0" fillId="8" borderId="2" xfId="0" applyNumberFormat="1" applyFill="1" applyBorder="1"/>
    <xf numFmtId="3" fontId="0" fillId="8" borderId="2" xfId="0" applyNumberFormat="1" applyFill="1" applyBorder="1" applyAlignment="1">
      <alignment vertical="center"/>
    </xf>
    <xf numFmtId="0" fontId="2" fillId="8" borderId="0" xfId="0" applyFont="1" applyFill="1" applyAlignment="1">
      <alignment vertical="center"/>
    </xf>
    <xf numFmtId="0" fontId="0" fillId="8" borderId="0" xfId="0" applyFill="1" applyAlignment="1">
      <alignment vertical="center"/>
    </xf>
    <xf numFmtId="3" fontId="0" fillId="8" borderId="0" xfId="0" applyNumberFormat="1" applyFill="1"/>
    <xf numFmtId="0" fontId="2" fillId="8" borderId="2" xfId="0" applyFont="1" applyFill="1" applyBorder="1"/>
    <xf numFmtId="0" fontId="0" fillId="8" borderId="2" xfId="0" applyFill="1" applyBorder="1"/>
    <xf numFmtId="0" fontId="0" fillId="8" borderId="0" xfId="0" applyFill="1"/>
    <xf numFmtId="0" fontId="11" fillId="7" borderId="0" xfId="3" applyFont="1" applyFill="1"/>
    <xf numFmtId="0" fontId="10" fillId="7" borderId="0" xfId="0" applyFont="1" applyFill="1"/>
    <xf numFmtId="0" fontId="12" fillId="7" borderId="0" xfId="0" applyFont="1" applyFill="1"/>
    <xf numFmtId="0" fontId="2" fillId="0" borderId="0" xfId="1" applyFont="1" applyFill="1" applyAlignment="1"/>
    <xf numFmtId="172" fontId="2" fillId="7" borderId="0" xfId="0" applyNumberFormat="1" applyFont="1" applyFill="1"/>
    <xf numFmtId="0" fontId="13" fillId="7" borderId="0" xfId="0" applyFont="1" applyFill="1"/>
    <xf numFmtId="0" fontId="6" fillId="0" borderId="0" xfId="3"/>
    <xf numFmtId="0" fontId="14" fillId="7" borderId="0" xfId="3" applyFont="1" applyFill="1"/>
    <xf numFmtId="0" fontId="6" fillId="0" borderId="0" xfId="3" applyAlignment="1"/>
    <xf numFmtId="0" fontId="11" fillId="9" borderId="0" xfId="3" applyFont="1" applyFill="1" applyAlignment="1"/>
    <xf numFmtId="0" fontId="11" fillId="6" borderId="0" xfId="3" applyFont="1" applyFill="1" applyAlignment="1"/>
    <xf numFmtId="0" fontId="11" fillId="11" borderId="0" xfId="3" applyFont="1" applyFill="1" applyAlignment="1"/>
    <xf numFmtId="0" fontId="11" fillId="10" borderId="0" xfId="3" applyFont="1" applyFill="1" applyAlignment="1"/>
    <xf numFmtId="0" fontId="2" fillId="0" borderId="27" xfId="0" applyFont="1" applyBorder="1" applyAlignment="1">
      <alignment horizontal="center"/>
    </xf>
    <xf numFmtId="0" fontId="2" fillId="0" borderId="29" xfId="0" applyFont="1" applyBorder="1" applyAlignment="1">
      <alignment horizontal="center"/>
    </xf>
    <xf numFmtId="3" fontId="0" fillId="0" borderId="0" xfId="0" applyNumberFormat="1" applyAlignment="1">
      <alignment horizontal="right" vertical="center"/>
    </xf>
    <xf numFmtId="3" fontId="0" fillId="0" borderId="16" xfId="0" applyNumberFormat="1" applyBorder="1" applyAlignment="1">
      <alignment horizontal="right" vertical="center"/>
    </xf>
    <xf numFmtId="3" fontId="0" fillId="0" borderId="0" xfId="0" applyNumberFormat="1" applyAlignment="1"/>
    <xf numFmtId="3" fontId="0" fillId="0" borderId="0" xfId="0" applyNumberFormat="1" applyAlignment="1">
      <alignment horizontal="right"/>
    </xf>
    <xf numFmtId="3" fontId="0" fillId="0" borderId="16" xfId="0" applyNumberFormat="1" applyBorder="1" applyAlignment="1"/>
    <xf numFmtId="3" fontId="0" fillId="0" borderId="19" xfId="0" applyNumberFormat="1" applyBorder="1" applyAlignment="1"/>
    <xf numFmtId="3" fontId="0" fillId="0" borderId="21" xfId="0" applyNumberFormat="1" applyBorder="1" applyAlignment="1">
      <alignment horizontal="right" vertical="center"/>
    </xf>
    <xf numFmtId="3" fontId="0" fillId="0" borderId="21" xfId="0" applyNumberFormat="1" applyBorder="1" applyAlignment="1"/>
    <xf numFmtId="0" fontId="2" fillId="2" borderId="0" xfId="1" applyFont="1" applyAlignment="1">
      <alignment horizontal="center"/>
    </xf>
    <xf numFmtId="0" fontId="6" fillId="0" borderId="0" xfId="3" applyAlignment="1"/>
    <xf numFmtId="0" fontId="6" fillId="0" borderId="0" xfId="3" applyBorder="1" applyAlignment="1"/>
    <xf numFmtId="3" fontId="0" fillId="0" borderId="21" xfId="0" applyNumberFormat="1" applyBorder="1" applyAlignment="1">
      <alignment horizontal="right"/>
    </xf>
    <xf numFmtId="3" fontId="0" fillId="0" borderId="22" xfId="0" applyNumberFormat="1" applyBorder="1" applyAlignment="1"/>
    <xf numFmtId="0" fontId="2" fillId="0" borderId="13"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4" xfId="0" applyFont="1" applyBorder="1" applyAlignment="1">
      <alignment horizontal="center" vertical="center" wrapText="1"/>
    </xf>
    <xf numFmtId="4" fontId="0" fillId="0" borderId="0" xfId="0" applyNumberFormat="1" applyAlignment="1">
      <alignment horizontal="right"/>
    </xf>
    <xf numFmtId="0" fontId="0" fillId="0" borderId="0" xfId="0" applyAlignment="1">
      <alignment horizontal="center"/>
    </xf>
    <xf numFmtId="0" fontId="2" fillId="0" borderId="0" xfId="0" applyFont="1" applyAlignment="1">
      <alignment horizontal="center" vertical="center"/>
    </xf>
    <xf numFmtId="0" fontId="2" fillId="0" borderId="7" xfId="0" applyFont="1" applyBorder="1" applyAlignment="1">
      <alignment horizontal="center" vertical="center"/>
    </xf>
    <xf numFmtId="0" fontId="2" fillId="0" borderId="6" xfId="0" applyFont="1" applyBorder="1" applyAlignment="1">
      <alignment horizontal="center"/>
    </xf>
    <xf numFmtId="0" fontId="2" fillId="0" borderId="7" xfId="0" applyFont="1" applyBorder="1" applyAlignment="1">
      <alignment horizontal="center"/>
    </xf>
    <xf numFmtId="0" fontId="0" fillId="0" borderId="2" xfId="0" applyBorder="1" applyAlignment="1">
      <alignment horizontal="center"/>
    </xf>
    <xf numFmtId="4" fontId="0" fillId="0" borderId="7" xfId="0" applyNumberFormat="1" applyBorder="1" applyAlignment="1">
      <alignment horizontal="center" vertical="center"/>
    </xf>
    <xf numFmtId="170" fontId="0" fillId="0" borderId="7" xfId="0" applyNumberFormat="1" applyBorder="1" applyAlignment="1">
      <alignment horizontal="right" vertical="center"/>
    </xf>
    <xf numFmtId="2" fontId="0" fillId="0" borderId="0" xfId="0" applyNumberFormat="1" applyAlignment="1">
      <alignment horizontal="right"/>
    </xf>
    <xf numFmtId="170" fontId="0" fillId="0" borderId="0" xfId="0" applyNumberFormat="1" applyAlignment="1">
      <alignment horizontal="right"/>
    </xf>
    <xf numFmtId="168" fontId="0" fillId="0" borderId="0" xfId="0" applyNumberFormat="1" applyAlignment="1">
      <alignment horizontal="center"/>
    </xf>
    <xf numFmtId="3" fontId="0" fillId="0" borderId="0" xfId="0" applyNumberFormat="1" applyAlignment="1">
      <alignment horizontal="center"/>
    </xf>
    <xf numFmtId="0" fontId="0" fillId="0" borderId="7" xfId="0" applyBorder="1" applyAlignment="1">
      <alignment horizontal="center"/>
    </xf>
    <xf numFmtId="3" fontId="0" fillId="0" borderId="7" xfId="0" applyNumberFormat="1" applyBorder="1" applyAlignment="1">
      <alignment horizontal="center"/>
    </xf>
    <xf numFmtId="3" fontId="0" fillId="0" borderId="7" xfId="0" applyNumberFormat="1" applyBorder="1" applyAlignment="1">
      <alignment horizontal="right" vertical="center"/>
    </xf>
    <xf numFmtId="3" fontId="0" fillId="0" borderId="5" xfId="0" applyNumberFormat="1" applyBorder="1" applyAlignment="1">
      <alignment horizontal="center" vertical="center"/>
    </xf>
    <xf numFmtId="3" fontId="0" fillId="0" borderId="8" xfId="0" applyNumberFormat="1" applyBorder="1" applyAlignment="1">
      <alignment horizontal="center" vertical="center"/>
    </xf>
    <xf numFmtId="4" fontId="0" fillId="0" borderId="7" xfId="0" applyNumberFormat="1" applyBorder="1" applyAlignment="1">
      <alignment horizontal="right"/>
    </xf>
    <xf numFmtId="0" fontId="0" fillId="0" borderId="5" xfId="0" applyBorder="1" applyAlignment="1">
      <alignment horizontal="center" vertical="center"/>
    </xf>
    <xf numFmtId="0" fontId="0" fillId="0" borderId="8" xfId="0"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0" fillId="0" borderId="10" xfId="0" applyBorder="1" applyAlignment="1">
      <alignment horizontal="center"/>
    </xf>
    <xf numFmtId="169" fontId="0" fillId="0" borderId="0" xfId="0" applyNumberFormat="1" applyAlignment="1"/>
    <xf numFmtId="2" fontId="0" fillId="0" borderId="0" xfId="0" applyNumberFormat="1" applyAlignment="1">
      <alignment horizontal="right" vertical="center"/>
    </xf>
    <xf numFmtId="4" fontId="0" fillId="0" borderId="0" xfId="0" applyNumberFormat="1" applyAlignment="1">
      <alignment horizontal="center"/>
    </xf>
    <xf numFmtId="2" fontId="0" fillId="0" borderId="0" xfId="0" applyNumberFormat="1" applyAlignment="1"/>
    <xf numFmtId="4" fontId="0" fillId="0" borderId="7" xfId="0" applyNumberFormat="1" applyBorder="1" applyAlignment="1"/>
    <xf numFmtId="4" fontId="0" fillId="0" borderId="0" xfId="0" applyNumberFormat="1" applyAlignment="1">
      <alignment horizontal="center" vertical="center"/>
    </xf>
    <xf numFmtId="3" fontId="0" fillId="0" borderId="0" xfId="0" applyNumberFormat="1" applyAlignment="1">
      <alignment horizontal="center" vertical="center"/>
    </xf>
    <xf numFmtId="3" fontId="0" fillId="0" borderId="7" xfId="0" applyNumberFormat="1" applyBorder="1" applyAlignment="1"/>
    <xf numFmtId="170" fontId="0" fillId="0" borderId="0" xfId="0" applyNumberFormat="1" applyAlignment="1">
      <alignment horizontal="right" vertical="center"/>
    </xf>
    <xf numFmtId="0" fontId="2" fillId="0" borderId="1" xfId="0" applyFont="1" applyBorder="1" applyAlignment="1">
      <alignment horizontal="center"/>
    </xf>
    <xf numFmtId="0" fontId="2" fillId="0" borderId="2" xfId="0" applyFont="1" applyBorder="1" applyAlignment="1">
      <alignment horizontal="center"/>
    </xf>
    <xf numFmtId="171" fontId="0" fillId="0" borderId="7" xfId="0" applyNumberFormat="1" applyBorder="1" applyAlignment="1"/>
    <xf numFmtId="0" fontId="0" fillId="0" borderId="0" xfId="0" applyAlignment="1">
      <alignment horizontal="right"/>
    </xf>
    <xf numFmtId="168" fontId="0" fillId="0" borderId="7" xfId="0" applyNumberFormat="1" applyBorder="1" applyAlignment="1">
      <alignment horizontal="center"/>
    </xf>
    <xf numFmtId="0" fontId="2" fillId="0" borderId="4" xfId="0" applyFont="1" applyBorder="1" applyAlignment="1">
      <alignment horizontal="center"/>
    </xf>
    <xf numFmtId="0" fontId="2" fillId="0" borderId="0" xfId="0" applyFont="1" applyAlignment="1">
      <alignment horizontal="center"/>
    </xf>
    <xf numFmtId="170" fontId="0" fillId="0" borderId="7" xfId="0" applyNumberFormat="1" applyBorder="1" applyAlignment="1">
      <alignment horizontal="right"/>
    </xf>
    <xf numFmtId="170" fontId="0" fillId="0" borderId="0" xfId="0" applyNumberFormat="1" applyAlignment="1"/>
    <xf numFmtId="2" fontId="0" fillId="0" borderId="7" xfId="0" applyNumberFormat="1" applyBorder="1" applyAlignment="1">
      <alignment horizontal="right"/>
    </xf>
    <xf numFmtId="0" fontId="0" fillId="0" borderId="0" xfId="0" applyAlignment="1">
      <alignment horizontal="center" vertical="center"/>
    </xf>
    <xf numFmtId="0" fontId="2" fillId="0" borderId="8" xfId="0" applyFont="1" applyBorder="1" applyAlignment="1">
      <alignment horizontal="center" vertical="center"/>
    </xf>
    <xf numFmtId="3" fontId="0" fillId="0" borderId="11" xfId="0" applyNumberFormat="1" applyBorder="1" applyAlignment="1">
      <alignment horizontal="center" vertical="center"/>
    </xf>
    <xf numFmtId="3" fontId="2" fillId="0" borderId="0" xfId="0" applyNumberFormat="1" applyFont="1" applyAlignment="1">
      <alignment horizontal="center" vertical="center"/>
    </xf>
    <xf numFmtId="3" fontId="2" fillId="0" borderId="7" xfId="0" applyNumberFormat="1" applyFont="1" applyBorder="1" applyAlignment="1">
      <alignment horizontal="center" vertical="center"/>
    </xf>
    <xf numFmtId="0" fontId="2" fillId="0" borderId="0" xfId="0" applyFont="1" applyAlignment="1">
      <alignment horizontal="center" vertical="center" wrapText="1"/>
    </xf>
    <xf numFmtId="0" fontId="2" fillId="2" borderId="0" xfId="1" applyFont="1" applyAlignment="1">
      <alignment horizontal="center" vertical="center"/>
    </xf>
    <xf numFmtId="0" fontId="6" fillId="0" borderId="0" xfId="3" applyFill="1" applyBorder="1" applyAlignment="1"/>
    <xf numFmtId="0" fontId="2" fillId="0" borderId="2" xfId="2" applyFont="1" applyAlignment="1">
      <alignment horizontal="center" vertical="center"/>
    </xf>
    <xf numFmtId="0" fontId="0" fillId="0" borderId="10" xfId="2" applyFont="1" applyBorder="1" applyAlignment="1">
      <alignment horizontal="center"/>
    </xf>
    <xf numFmtId="0" fontId="0" fillId="0" borderId="0" xfId="2" applyFont="1" applyBorder="1" applyAlignment="1">
      <alignment horizontal="center"/>
    </xf>
    <xf numFmtId="0" fontId="0" fillId="0" borderId="7" xfId="2" applyFont="1" applyBorder="1" applyAlignment="1">
      <alignment horizontal="center"/>
    </xf>
    <xf numFmtId="0" fontId="2" fillId="0" borderId="2" xfId="2" applyFont="1" applyAlignment="1">
      <alignment horizontal="center" vertical="center" wrapText="1"/>
    </xf>
    <xf numFmtId="0" fontId="6" fillId="0" borderId="0" xfId="3" applyFill="1" applyBorder="1" applyAlignment="1">
      <alignment horizontal="left"/>
    </xf>
    <xf numFmtId="2" fontId="0" fillId="0" borderId="7" xfId="0" applyNumberFormat="1" applyBorder="1" applyAlignment="1">
      <alignment horizontal="right" vertical="center"/>
    </xf>
    <xf numFmtId="2" fontId="0" fillId="0" borderId="10" xfId="0" applyNumberFormat="1" applyBorder="1" applyAlignment="1">
      <alignment horizontal="right" vertical="center"/>
    </xf>
    <xf numFmtId="0" fontId="2" fillId="0" borderId="7" xfId="0" applyFont="1" applyBorder="1" applyAlignment="1">
      <alignment horizontal="center" vertical="center" wrapText="1"/>
    </xf>
    <xf numFmtId="2" fontId="0" fillId="0" borderId="0" xfId="0" applyNumberFormat="1" applyAlignment="1">
      <alignment vertical="center"/>
    </xf>
    <xf numFmtId="170" fontId="0" fillId="0" borderId="0" xfId="0" applyNumberFormat="1" applyAlignment="1">
      <alignment vertical="center"/>
    </xf>
    <xf numFmtId="2" fontId="0" fillId="0" borderId="4" xfId="0" applyNumberFormat="1" applyBorder="1" applyAlignment="1"/>
    <xf numFmtId="2" fontId="0" fillId="5" borderId="4" xfId="0" applyNumberFormat="1" applyFill="1" applyBorder="1" applyAlignment="1"/>
    <xf numFmtId="2" fontId="0" fillId="5" borderId="0" xfId="0" applyNumberFormat="1" applyFill="1" applyAlignment="1"/>
    <xf numFmtId="3" fontId="2" fillId="3" borderId="0" xfId="0" applyNumberFormat="1" applyFont="1" applyFill="1" applyAlignment="1">
      <alignment horizontal="center"/>
    </xf>
    <xf numFmtId="0" fontId="0" fillId="3" borderId="0" xfId="0" applyFill="1" applyAlignment="1"/>
    <xf numFmtId="0" fontId="0" fillId="3" borderId="0" xfId="0" applyFill="1" applyAlignment="1">
      <alignment horizontal="left"/>
    </xf>
    <xf numFmtId="0" fontId="2" fillId="3" borderId="4" xfId="0" applyFont="1" applyFill="1" applyBorder="1" applyAlignment="1">
      <alignment horizontal="center" vertical="center" wrapText="1"/>
    </xf>
    <xf numFmtId="0" fontId="0" fillId="3" borderId="4" xfId="0" applyFill="1" applyBorder="1" applyAlignment="1">
      <alignment horizontal="left" vertical="center"/>
    </xf>
    <xf numFmtId="0" fontId="2" fillId="3" borderId="6" xfId="0" applyFont="1" applyFill="1" applyBorder="1" applyAlignment="1">
      <alignment horizontal="center" vertical="center" wrapText="1"/>
    </xf>
    <xf numFmtId="0" fontId="2" fillId="3" borderId="7" xfId="0" applyFont="1" applyFill="1" applyBorder="1" applyAlignment="1"/>
    <xf numFmtId="0" fontId="0" fillId="3" borderId="7" xfId="0" applyFill="1" applyBorder="1" applyAlignment="1"/>
    <xf numFmtId="0" fontId="2" fillId="3" borderId="9" xfId="0" applyFont="1" applyFill="1" applyBorder="1" applyAlignment="1">
      <alignment horizontal="center" vertical="center"/>
    </xf>
    <xf numFmtId="0" fontId="2" fillId="3" borderId="10" xfId="0" applyFont="1" applyFill="1" applyBorder="1" applyAlignment="1">
      <alignment horizontal="center" vertical="center"/>
    </xf>
    <xf numFmtId="0" fontId="2" fillId="3" borderId="11" xfId="0" applyFont="1" applyFill="1" applyBorder="1" applyAlignment="1">
      <alignment horizontal="center" vertical="center"/>
    </xf>
    <xf numFmtId="0" fontId="2" fillId="3" borderId="6" xfId="0" applyFont="1" applyFill="1" applyBorder="1" applyAlignment="1">
      <alignment horizontal="center" vertical="center"/>
    </xf>
    <xf numFmtId="0" fontId="2" fillId="3" borderId="7" xfId="0" applyFont="1" applyFill="1" applyBorder="1" applyAlignment="1">
      <alignment horizontal="center" vertical="center"/>
    </xf>
    <xf numFmtId="0" fontId="2" fillId="3" borderId="8" xfId="0" applyFont="1" applyFill="1" applyBorder="1" applyAlignment="1">
      <alignment horizontal="center" vertical="center"/>
    </xf>
    <xf numFmtId="2" fontId="2" fillId="3" borderId="9" xfId="0" applyNumberFormat="1" applyFont="1" applyFill="1" applyBorder="1" applyAlignment="1">
      <alignment horizontal="center" vertical="center"/>
    </xf>
    <xf numFmtId="2" fontId="2" fillId="3" borderId="10" xfId="0" applyNumberFormat="1" applyFont="1" applyFill="1" applyBorder="1" applyAlignment="1">
      <alignment horizontal="center" vertical="center"/>
    </xf>
    <xf numFmtId="2" fontId="2" fillId="3" borderId="11" xfId="0" applyNumberFormat="1" applyFont="1" applyFill="1" applyBorder="1" applyAlignment="1">
      <alignment horizontal="center" vertical="center"/>
    </xf>
    <xf numFmtId="2" fontId="2" fillId="3" borderId="6" xfId="0" applyNumberFormat="1" applyFont="1" applyFill="1" applyBorder="1" applyAlignment="1">
      <alignment horizontal="center" vertical="center"/>
    </xf>
    <xf numFmtId="2" fontId="2" fillId="3" borderId="7" xfId="0" applyNumberFormat="1" applyFont="1" applyFill="1" applyBorder="1" applyAlignment="1">
      <alignment horizontal="center" vertical="center"/>
    </xf>
    <xf numFmtId="2" fontId="2" fillId="3" borderId="8" xfId="0" applyNumberFormat="1" applyFont="1" applyFill="1" applyBorder="1" applyAlignment="1">
      <alignment horizontal="center" vertical="center"/>
    </xf>
    <xf numFmtId="0" fontId="2" fillId="3" borderId="1" xfId="0" applyFont="1" applyFill="1" applyBorder="1" applyAlignment="1">
      <alignment horizontal="center"/>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vertical="center"/>
    </xf>
    <xf numFmtId="0" fontId="0" fillId="3" borderId="0" xfId="0" applyFill="1" applyAlignment="1">
      <alignment horizontal="left" vertical="center" wrapText="1"/>
    </xf>
    <xf numFmtId="2" fontId="0" fillId="3" borderId="5" xfId="0" applyNumberFormat="1" applyFill="1" applyBorder="1" applyAlignment="1">
      <alignment horizontal="right" vertical="center"/>
    </xf>
    <xf numFmtId="164" fontId="0" fillId="3" borderId="5" xfId="0" applyNumberFormat="1" applyFill="1" applyBorder="1" applyAlignment="1">
      <alignment horizontal="right" vertical="center"/>
    </xf>
    <xf numFmtId="2" fontId="0" fillId="3" borderId="0" xfId="0" applyNumberFormat="1" applyFill="1" applyAlignment="1"/>
    <xf numFmtId="0" fontId="2" fillId="0" borderId="5" xfId="0" applyFont="1" applyBorder="1" applyAlignment="1">
      <alignment horizontal="center"/>
    </xf>
    <xf numFmtId="0" fontId="0" fillId="0" borderId="15" xfId="0" applyBorder="1" applyAlignment="1">
      <alignment horizontal="center" vertical="center" wrapText="1"/>
    </xf>
    <xf numFmtId="0" fontId="0" fillId="0" borderId="18" xfId="0" applyBorder="1" applyAlignment="1">
      <alignment horizontal="center" vertical="center" wrapText="1"/>
    </xf>
    <xf numFmtId="0" fontId="0" fillId="0" borderId="20" xfId="0" applyBorder="1" applyAlignment="1">
      <alignment horizontal="center"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0" fillId="0" borderId="25" xfId="0" applyBorder="1" applyAlignment="1">
      <alignment horizontal="left" vertical="center" wrapText="1"/>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10" fillId="0" borderId="15" xfId="0" applyFont="1"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0" borderId="15" xfId="0" applyBorder="1" applyAlignment="1">
      <alignment horizontal="center"/>
    </xf>
    <xf numFmtId="3" fontId="0" fillId="0" borderId="20" xfId="0" applyNumberFormat="1" applyBorder="1" applyAlignment="1">
      <alignment horizontal="center"/>
    </xf>
    <xf numFmtId="3" fontId="0" fillId="0" borderId="22" xfId="0" applyNumberFormat="1" applyBorder="1" applyAlignment="1">
      <alignment horizontal="center"/>
    </xf>
    <xf numFmtId="0" fontId="0" fillId="0" borderId="26" xfId="0" applyBorder="1" applyAlignment="1">
      <alignment horizontal="left"/>
    </xf>
    <xf numFmtId="0" fontId="0" fillId="0" borderId="27" xfId="0" applyBorder="1" applyAlignment="1">
      <alignment horizontal="left"/>
    </xf>
    <xf numFmtId="0" fontId="0" fillId="0" borderId="26" xfId="0" applyBorder="1" applyAlignment="1">
      <alignment horizontal="center"/>
    </xf>
    <xf numFmtId="0" fontId="0" fillId="0" borderId="27" xfId="0" applyBorder="1" applyAlignment="1">
      <alignment horizontal="center"/>
    </xf>
    <xf numFmtId="3" fontId="0" fillId="0" borderId="21" xfId="0" applyNumberFormat="1" applyBorder="1" applyAlignment="1">
      <alignment horizontal="center"/>
    </xf>
    <xf numFmtId="3" fontId="6" fillId="0" borderId="0" xfId="3" applyNumberFormat="1" applyAlignment="1">
      <alignment horizontal="left"/>
    </xf>
    <xf numFmtId="49" fontId="9" fillId="0" borderId="0" xfId="0" applyNumberFormat="1" applyFont="1" applyAlignment="1">
      <alignment horizontal="center" vertical="center" wrapText="1"/>
    </xf>
    <xf numFmtId="0" fontId="9" fillId="0" borderId="0" xfId="0" applyFont="1" applyAlignment="1">
      <alignment horizontal="center" vertical="center" wrapText="1"/>
    </xf>
    <xf numFmtId="49" fontId="10" fillId="0" borderId="0" xfId="0" applyNumberFormat="1" applyFont="1" applyAlignment="1">
      <alignment wrapText="1"/>
    </xf>
  </cellXfs>
  <cellStyles count="4">
    <cellStyle name="20% - Accent3" xfId="1" builtinId="38"/>
    <cellStyle name="Hyperlink" xfId="3" builtinId="8"/>
    <cellStyle name="Normal" xfId="0" builtinId="0"/>
    <cellStyle name="Style 1" xfId="2" xr:uid="{2EECE4EB-2D15-4E46-B146-0844586A2670}"/>
  </cellStyles>
  <dxfs count="0"/>
  <tableStyles count="0" defaultTableStyle="TableStyleMedium2" defaultPivotStyle="PivotStyleLight16"/>
  <colors>
    <mruColors>
      <color rgb="FF9E480E"/>
      <color rgb="FF5B9BD5"/>
      <color rgb="FFB391CD"/>
      <color rgb="FF4F8797"/>
      <color rgb="FFD4C000"/>
      <color rgb="FFB87A71"/>
      <color rgb="FF9BACC8"/>
      <color rgb="FF879068"/>
      <color rgb="FF7030A0"/>
      <color rgb="FF9BB7D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areaChart>
        <c:grouping val="stacked"/>
        <c:varyColors val="0"/>
        <c:ser>
          <c:idx val="0"/>
          <c:order val="0"/>
          <c:tx>
            <c:v>LDH</c:v>
          </c:tx>
          <c:spPr>
            <a:solidFill>
              <a:srgbClr val="9BB7D7"/>
            </a:solidFill>
            <a:ln w="25400">
              <a:noFill/>
            </a:ln>
            <a:effectLst/>
          </c:spPr>
          <c:cat>
            <c:numRef>
              <c:f>'[1]# New Residential Dwellings'!$E$3:$K$3</c:f>
              <c:numCache>
                <c:formatCode>General</c:formatCode>
                <c:ptCount val="7"/>
                <c:pt idx="0">
                  <c:v>1991</c:v>
                </c:pt>
                <c:pt idx="1">
                  <c:v>1996</c:v>
                </c:pt>
                <c:pt idx="2">
                  <c:v>2001</c:v>
                </c:pt>
                <c:pt idx="3">
                  <c:v>2006</c:v>
                </c:pt>
                <c:pt idx="4">
                  <c:v>2011</c:v>
                </c:pt>
                <c:pt idx="5">
                  <c:v>2016</c:v>
                </c:pt>
                <c:pt idx="6">
                  <c:v>2021</c:v>
                </c:pt>
              </c:numCache>
            </c:numRef>
          </c:cat>
          <c:val>
            <c:numRef>
              <c:f>'[1]# New Residential Dwellings'!$E$4:$K$4</c:f>
              <c:numCache>
                <c:formatCode>General</c:formatCode>
                <c:ptCount val="7"/>
                <c:pt idx="0">
                  <c:v>12392</c:v>
                </c:pt>
                <c:pt idx="1">
                  <c:v>17284</c:v>
                </c:pt>
                <c:pt idx="2">
                  <c:v>15942</c:v>
                </c:pt>
                <c:pt idx="3">
                  <c:v>20082</c:v>
                </c:pt>
                <c:pt idx="4">
                  <c:v>11261</c:v>
                </c:pt>
                <c:pt idx="5">
                  <c:v>21310</c:v>
                </c:pt>
                <c:pt idx="6">
                  <c:v>25512</c:v>
                </c:pt>
              </c:numCache>
            </c:numRef>
          </c:val>
          <c:extLst>
            <c:ext xmlns:c16="http://schemas.microsoft.com/office/drawing/2014/chart" uri="{C3380CC4-5D6E-409C-BE32-E72D297353CC}">
              <c16:uniqueId val="{00000000-0D15-4717-B788-532AD2AC24E6}"/>
            </c:ext>
          </c:extLst>
        </c:ser>
        <c:ser>
          <c:idx val="1"/>
          <c:order val="1"/>
          <c:tx>
            <c:v>MDH</c:v>
          </c:tx>
          <c:spPr>
            <a:solidFill>
              <a:srgbClr val="B26476"/>
            </a:solidFill>
            <a:ln w="25400">
              <a:noFill/>
            </a:ln>
            <a:effectLst/>
          </c:spPr>
          <c:cat>
            <c:numRef>
              <c:f>'[1]# New Residential Dwellings'!$E$3:$K$3</c:f>
              <c:numCache>
                <c:formatCode>General</c:formatCode>
                <c:ptCount val="7"/>
                <c:pt idx="0">
                  <c:v>1991</c:v>
                </c:pt>
                <c:pt idx="1">
                  <c:v>1996</c:v>
                </c:pt>
                <c:pt idx="2">
                  <c:v>2001</c:v>
                </c:pt>
                <c:pt idx="3">
                  <c:v>2006</c:v>
                </c:pt>
                <c:pt idx="4">
                  <c:v>2011</c:v>
                </c:pt>
                <c:pt idx="5">
                  <c:v>2016</c:v>
                </c:pt>
                <c:pt idx="6">
                  <c:v>2021</c:v>
                </c:pt>
              </c:numCache>
            </c:numRef>
          </c:cat>
          <c:val>
            <c:numRef>
              <c:f>'[1]# New Residential Dwellings'!$E$7:$K$7</c:f>
              <c:numCache>
                <c:formatCode>General</c:formatCode>
                <c:ptCount val="7"/>
                <c:pt idx="0">
                  <c:v>4974</c:v>
                </c:pt>
                <c:pt idx="1">
                  <c:v>5670</c:v>
                </c:pt>
                <c:pt idx="2">
                  <c:v>4748</c:v>
                </c:pt>
                <c:pt idx="3">
                  <c:v>5850</c:v>
                </c:pt>
                <c:pt idx="4">
                  <c:v>2632</c:v>
                </c:pt>
                <c:pt idx="5">
                  <c:v>8756</c:v>
                </c:pt>
                <c:pt idx="6">
                  <c:v>23195</c:v>
                </c:pt>
              </c:numCache>
            </c:numRef>
          </c:val>
          <c:extLst>
            <c:ext xmlns:c16="http://schemas.microsoft.com/office/drawing/2014/chart" uri="{C3380CC4-5D6E-409C-BE32-E72D297353CC}">
              <c16:uniqueId val="{00000001-0D15-4717-B788-532AD2AC24E6}"/>
            </c:ext>
          </c:extLst>
        </c:ser>
        <c:dLbls>
          <c:showLegendKey val="0"/>
          <c:showVal val="0"/>
          <c:showCatName val="0"/>
          <c:showSerName val="0"/>
          <c:showPercent val="0"/>
          <c:showBubbleSize val="0"/>
        </c:dLbls>
        <c:axId val="1899627696"/>
        <c:axId val="1899627280"/>
      </c:areaChart>
      <c:lineChart>
        <c:grouping val="standard"/>
        <c:varyColors val="0"/>
        <c:ser>
          <c:idx val="2"/>
          <c:order val="2"/>
          <c:tx>
            <c:v>NZ Population</c:v>
          </c:tx>
          <c:spPr>
            <a:ln w="25400" cap="rnd">
              <a:solidFill>
                <a:schemeClr val="accent3"/>
              </a:solidFill>
              <a:prstDash val="dash"/>
              <a:round/>
            </a:ln>
            <a:effectLst/>
          </c:spPr>
          <c:marker>
            <c:symbol val="none"/>
          </c:marker>
          <c:cat>
            <c:numRef>
              <c:f>'[1]# New Residential Dwellings'!$E$3:$K$3</c:f>
              <c:numCache>
                <c:formatCode>General</c:formatCode>
                <c:ptCount val="7"/>
                <c:pt idx="0">
                  <c:v>1991</c:v>
                </c:pt>
                <c:pt idx="1">
                  <c:v>1996</c:v>
                </c:pt>
                <c:pt idx="2">
                  <c:v>2001</c:v>
                </c:pt>
                <c:pt idx="3">
                  <c:v>2006</c:v>
                </c:pt>
                <c:pt idx="4">
                  <c:v>2011</c:v>
                </c:pt>
                <c:pt idx="5">
                  <c:v>2016</c:v>
                </c:pt>
                <c:pt idx="6">
                  <c:v>2021</c:v>
                </c:pt>
              </c:numCache>
            </c:numRef>
          </c:cat>
          <c:val>
            <c:numRef>
              <c:f>'[1]# New Residential Dwellings'!$E$14:$K$14</c:f>
              <c:numCache>
                <c:formatCode>General</c:formatCode>
                <c:ptCount val="7"/>
                <c:pt idx="0">
                  <c:v>3.4950000000000001</c:v>
                </c:pt>
                <c:pt idx="1">
                  <c:v>3.7320000000000002</c:v>
                </c:pt>
                <c:pt idx="2">
                  <c:v>3.88</c:v>
                </c:pt>
                <c:pt idx="3">
                  <c:v>4.1849999999999996</c:v>
                </c:pt>
                <c:pt idx="4">
                  <c:v>4.3840000000000003</c:v>
                </c:pt>
                <c:pt idx="5">
                  <c:v>4.7140000000000004</c:v>
                </c:pt>
                <c:pt idx="6">
                  <c:v>5.1230000000000002</c:v>
                </c:pt>
              </c:numCache>
            </c:numRef>
          </c:val>
          <c:smooth val="0"/>
          <c:extLst>
            <c:ext xmlns:c16="http://schemas.microsoft.com/office/drawing/2014/chart" uri="{C3380CC4-5D6E-409C-BE32-E72D297353CC}">
              <c16:uniqueId val="{00000002-0D15-4717-B788-532AD2AC24E6}"/>
            </c:ext>
          </c:extLst>
        </c:ser>
        <c:dLbls>
          <c:showLegendKey val="0"/>
          <c:showVal val="0"/>
          <c:showCatName val="0"/>
          <c:showSerName val="0"/>
          <c:showPercent val="0"/>
          <c:showBubbleSize val="0"/>
        </c:dLbls>
        <c:marker val="1"/>
        <c:smooth val="0"/>
        <c:axId val="2103788656"/>
        <c:axId val="2103799472"/>
      </c:lineChart>
      <c:dateAx>
        <c:axId val="1899627696"/>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NZ"/>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99627280"/>
        <c:crossesAt val="0"/>
        <c:auto val="0"/>
        <c:lblOffset val="100"/>
        <c:baseTimeUnit val="days"/>
        <c:majorUnit val="5"/>
        <c:majorTimeUnit val="days"/>
      </c:dateAx>
      <c:valAx>
        <c:axId val="18996272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NZ"/>
                  <a:t>New Dwellings Constructed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99627696"/>
        <c:crosses val="autoZero"/>
        <c:crossBetween val="between"/>
        <c:majorUnit val="10000"/>
      </c:valAx>
      <c:valAx>
        <c:axId val="2103799472"/>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NZ"/>
                  <a:t>Population</a:t>
                </a:r>
                <a:r>
                  <a:rPr lang="en-NZ" baseline="0"/>
                  <a:t> (M)</a:t>
                </a:r>
                <a:endParaRPr lang="en-NZ"/>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03788656"/>
        <c:crosses val="max"/>
        <c:crossBetween val="between"/>
      </c:valAx>
      <c:catAx>
        <c:axId val="2103788656"/>
        <c:scaling>
          <c:orientation val="minMax"/>
        </c:scaling>
        <c:delete val="1"/>
        <c:axPos val="b"/>
        <c:numFmt formatCode="General" sourceLinked="1"/>
        <c:majorTickMark val="out"/>
        <c:minorTickMark val="none"/>
        <c:tickLblPos val="nextTo"/>
        <c:crossAx val="2103799472"/>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stacked"/>
        <c:varyColors val="0"/>
        <c:ser>
          <c:idx val="0"/>
          <c:order val="0"/>
          <c:tx>
            <c:strRef>
              <c:f>Construction!$C$124</c:f>
              <c:strCache>
                <c:ptCount val="1"/>
                <c:pt idx="0">
                  <c:v>Concrete &amp; Masonry</c:v>
                </c:pt>
              </c:strCache>
            </c:strRef>
          </c:tx>
          <c:spPr>
            <a:solidFill>
              <a:srgbClr val="9BB7D7"/>
            </a:solidFill>
            <a:ln>
              <a:noFill/>
            </a:ln>
            <a:effectLst/>
          </c:spPr>
          <c:invertIfNegative val="0"/>
          <c:cat>
            <c:numRef>
              <c:f>Construction!$E$123:$K$123</c:f>
              <c:numCache>
                <c:formatCode>General</c:formatCode>
                <c:ptCount val="7"/>
                <c:pt idx="0">
                  <c:v>1991</c:v>
                </c:pt>
                <c:pt idx="1">
                  <c:v>1996</c:v>
                </c:pt>
                <c:pt idx="2">
                  <c:v>2001</c:v>
                </c:pt>
                <c:pt idx="3">
                  <c:v>2006</c:v>
                </c:pt>
                <c:pt idx="4">
                  <c:v>2011</c:v>
                </c:pt>
                <c:pt idx="5">
                  <c:v>2016</c:v>
                </c:pt>
                <c:pt idx="6">
                  <c:v>2021</c:v>
                </c:pt>
              </c:numCache>
            </c:numRef>
          </c:cat>
          <c:val>
            <c:numRef>
              <c:f>Construction!$E$124:$K$124</c:f>
              <c:numCache>
                <c:formatCode>#,##0</c:formatCode>
                <c:ptCount val="7"/>
                <c:pt idx="0">
                  <c:v>658131.25255820167</c:v>
                </c:pt>
                <c:pt idx="1">
                  <c:v>1055823.326202502</c:v>
                </c:pt>
                <c:pt idx="2">
                  <c:v>986320.77018020838</c:v>
                </c:pt>
                <c:pt idx="3">
                  <c:v>1348563.4258788554</c:v>
                </c:pt>
                <c:pt idx="4">
                  <c:v>690951.19089183095</c:v>
                </c:pt>
                <c:pt idx="5">
                  <c:v>1334385.2419891423</c:v>
                </c:pt>
                <c:pt idx="6">
                  <c:v>1522961.1029141906</c:v>
                </c:pt>
              </c:numCache>
            </c:numRef>
          </c:val>
          <c:extLst>
            <c:ext xmlns:c16="http://schemas.microsoft.com/office/drawing/2014/chart" uri="{C3380CC4-5D6E-409C-BE32-E72D297353CC}">
              <c16:uniqueId val="{00000000-E24C-4CC8-82CE-F3AF8B4BC614}"/>
            </c:ext>
          </c:extLst>
        </c:ser>
        <c:ser>
          <c:idx val="1"/>
          <c:order val="1"/>
          <c:tx>
            <c:strRef>
              <c:f>Construction!$C$128</c:f>
              <c:strCache>
                <c:ptCount val="1"/>
                <c:pt idx="0">
                  <c:v>Timber</c:v>
                </c:pt>
              </c:strCache>
            </c:strRef>
          </c:tx>
          <c:spPr>
            <a:solidFill>
              <a:srgbClr val="B26476"/>
            </a:solidFill>
            <a:ln>
              <a:noFill/>
            </a:ln>
            <a:effectLst/>
          </c:spPr>
          <c:invertIfNegative val="0"/>
          <c:cat>
            <c:numRef>
              <c:f>Construction!$E$123:$K$123</c:f>
              <c:numCache>
                <c:formatCode>General</c:formatCode>
                <c:ptCount val="7"/>
                <c:pt idx="0">
                  <c:v>1991</c:v>
                </c:pt>
                <c:pt idx="1">
                  <c:v>1996</c:v>
                </c:pt>
                <c:pt idx="2">
                  <c:v>2001</c:v>
                </c:pt>
                <c:pt idx="3">
                  <c:v>2006</c:v>
                </c:pt>
                <c:pt idx="4">
                  <c:v>2011</c:v>
                </c:pt>
                <c:pt idx="5">
                  <c:v>2016</c:v>
                </c:pt>
                <c:pt idx="6">
                  <c:v>2021</c:v>
                </c:pt>
              </c:numCache>
            </c:numRef>
          </c:cat>
          <c:val>
            <c:numRef>
              <c:f>Construction!$E$128:$K$128</c:f>
              <c:numCache>
                <c:formatCode>#,##0</c:formatCode>
                <c:ptCount val="7"/>
                <c:pt idx="0">
                  <c:v>67671.037052112195</c:v>
                </c:pt>
                <c:pt idx="1">
                  <c:v>108909.80404301945</c:v>
                </c:pt>
                <c:pt idx="2">
                  <c:v>101878.83055178827</c:v>
                </c:pt>
                <c:pt idx="3">
                  <c:v>128657.19776378253</c:v>
                </c:pt>
                <c:pt idx="4">
                  <c:v>65196.921956341685</c:v>
                </c:pt>
                <c:pt idx="5">
                  <c:v>150801.05292821952</c:v>
                </c:pt>
                <c:pt idx="6">
                  <c:v>208277.71960673836</c:v>
                </c:pt>
              </c:numCache>
            </c:numRef>
          </c:val>
          <c:extLst>
            <c:ext xmlns:c16="http://schemas.microsoft.com/office/drawing/2014/chart" uri="{C3380CC4-5D6E-409C-BE32-E72D297353CC}">
              <c16:uniqueId val="{00000001-E24C-4CC8-82CE-F3AF8B4BC614}"/>
            </c:ext>
          </c:extLst>
        </c:ser>
        <c:ser>
          <c:idx val="2"/>
          <c:order val="2"/>
          <c:tx>
            <c:strRef>
              <c:f>Construction!$C$129</c:f>
              <c:strCache>
                <c:ptCount val="1"/>
                <c:pt idx="0">
                  <c:v>Metal</c:v>
                </c:pt>
              </c:strCache>
            </c:strRef>
          </c:tx>
          <c:spPr>
            <a:solidFill>
              <a:schemeClr val="accent3"/>
            </a:solidFill>
            <a:ln>
              <a:noFill/>
            </a:ln>
            <a:effectLst/>
          </c:spPr>
          <c:invertIfNegative val="0"/>
          <c:cat>
            <c:numRef>
              <c:f>Construction!$E$123:$K$123</c:f>
              <c:numCache>
                <c:formatCode>General</c:formatCode>
                <c:ptCount val="7"/>
                <c:pt idx="0">
                  <c:v>1991</c:v>
                </c:pt>
                <c:pt idx="1">
                  <c:v>1996</c:v>
                </c:pt>
                <c:pt idx="2">
                  <c:v>2001</c:v>
                </c:pt>
                <c:pt idx="3">
                  <c:v>2006</c:v>
                </c:pt>
                <c:pt idx="4">
                  <c:v>2011</c:v>
                </c:pt>
                <c:pt idx="5">
                  <c:v>2016</c:v>
                </c:pt>
                <c:pt idx="6">
                  <c:v>2021</c:v>
                </c:pt>
              </c:numCache>
            </c:numRef>
          </c:cat>
          <c:val>
            <c:numRef>
              <c:f>Construction!$E$129:$K$129</c:f>
              <c:numCache>
                <c:formatCode>#,##0</c:formatCode>
                <c:ptCount val="7"/>
                <c:pt idx="0">
                  <c:v>15853.878863826649</c:v>
                </c:pt>
                <c:pt idx="1">
                  <c:v>25528.733776384819</c:v>
                </c:pt>
                <c:pt idx="2">
                  <c:v>23860.918129440899</c:v>
                </c:pt>
                <c:pt idx="3">
                  <c:v>38980.136449025842</c:v>
                </c:pt>
                <c:pt idx="4">
                  <c:v>23921.913060803949</c:v>
                </c:pt>
                <c:pt idx="5">
                  <c:v>45072.90544938689</c:v>
                </c:pt>
                <c:pt idx="6">
                  <c:v>74802.024826475899</c:v>
                </c:pt>
              </c:numCache>
            </c:numRef>
          </c:val>
          <c:extLst>
            <c:ext xmlns:c16="http://schemas.microsoft.com/office/drawing/2014/chart" uri="{C3380CC4-5D6E-409C-BE32-E72D297353CC}">
              <c16:uniqueId val="{00000002-E24C-4CC8-82CE-F3AF8B4BC614}"/>
            </c:ext>
          </c:extLst>
        </c:ser>
        <c:ser>
          <c:idx val="3"/>
          <c:order val="3"/>
          <c:tx>
            <c:strRef>
              <c:f>Construction!$C$132</c:f>
              <c:strCache>
                <c:ptCount val="1"/>
                <c:pt idx="0">
                  <c:v>Plastic</c:v>
                </c:pt>
              </c:strCache>
            </c:strRef>
          </c:tx>
          <c:spPr>
            <a:solidFill>
              <a:schemeClr val="accent4"/>
            </a:solidFill>
            <a:ln>
              <a:noFill/>
            </a:ln>
            <a:effectLst/>
          </c:spPr>
          <c:invertIfNegative val="0"/>
          <c:cat>
            <c:numRef>
              <c:f>Construction!$E$123:$K$123</c:f>
              <c:numCache>
                <c:formatCode>General</c:formatCode>
                <c:ptCount val="7"/>
                <c:pt idx="0">
                  <c:v>1991</c:v>
                </c:pt>
                <c:pt idx="1">
                  <c:v>1996</c:v>
                </c:pt>
                <c:pt idx="2">
                  <c:v>2001</c:v>
                </c:pt>
                <c:pt idx="3">
                  <c:v>2006</c:v>
                </c:pt>
                <c:pt idx="4">
                  <c:v>2011</c:v>
                </c:pt>
                <c:pt idx="5">
                  <c:v>2016</c:v>
                </c:pt>
                <c:pt idx="6">
                  <c:v>2021</c:v>
                </c:pt>
              </c:numCache>
            </c:numRef>
          </c:cat>
          <c:val>
            <c:numRef>
              <c:f>Construction!$E$132:$K$132</c:f>
              <c:numCache>
                <c:formatCode>#,##0</c:formatCode>
                <c:ptCount val="7"/>
                <c:pt idx="0">
                  <c:v>3929.4018638957846</c:v>
                </c:pt>
                <c:pt idx="1">
                  <c:v>6379.6529678628895</c:v>
                </c:pt>
                <c:pt idx="2">
                  <c:v>6043.6900472247144</c:v>
                </c:pt>
                <c:pt idx="3">
                  <c:v>7630.0474381525655</c:v>
                </c:pt>
                <c:pt idx="4">
                  <c:v>5893.3139898103191</c:v>
                </c:pt>
                <c:pt idx="5">
                  <c:v>15569.471605131746</c:v>
                </c:pt>
                <c:pt idx="6">
                  <c:v>27387.009404817567</c:v>
                </c:pt>
              </c:numCache>
            </c:numRef>
          </c:val>
          <c:extLst>
            <c:ext xmlns:c16="http://schemas.microsoft.com/office/drawing/2014/chart" uri="{C3380CC4-5D6E-409C-BE32-E72D297353CC}">
              <c16:uniqueId val="{00000003-E24C-4CC8-82CE-F3AF8B4BC614}"/>
            </c:ext>
          </c:extLst>
        </c:ser>
        <c:ser>
          <c:idx val="4"/>
          <c:order val="4"/>
          <c:tx>
            <c:strRef>
              <c:f>Construction!$C$136</c:f>
              <c:strCache>
                <c:ptCount val="1"/>
                <c:pt idx="0">
                  <c:v>Glass</c:v>
                </c:pt>
              </c:strCache>
            </c:strRef>
          </c:tx>
          <c:spPr>
            <a:solidFill>
              <a:schemeClr val="accent5"/>
            </a:solidFill>
            <a:ln>
              <a:noFill/>
            </a:ln>
            <a:effectLst/>
          </c:spPr>
          <c:invertIfNegative val="0"/>
          <c:cat>
            <c:numRef>
              <c:f>Construction!$E$123:$K$123</c:f>
              <c:numCache>
                <c:formatCode>General</c:formatCode>
                <c:ptCount val="7"/>
                <c:pt idx="0">
                  <c:v>1991</c:v>
                </c:pt>
                <c:pt idx="1">
                  <c:v>1996</c:v>
                </c:pt>
                <c:pt idx="2">
                  <c:v>2001</c:v>
                </c:pt>
                <c:pt idx="3">
                  <c:v>2006</c:v>
                </c:pt>
                <c:pt idx="4">
                  <c:v>2011</c:v>
                </c:pt>
                <c:pt idx="5">
                  <c:v>2016</c:v>
                </c:pt>
                <c:pt idx="6">
                  <c:v>2021</c:v>
                </c:pt>
              </c:numCache>
            </c:numRef>
          </c:cat>
          <c:val>
            <c:numRef>
              <c:f>Construction!$E$136:$K$136</c:f>
              <c:numCache>
                <c:formatCode>#,##0</c:formatCode>
                <c:ptCount val="7"/>
                <c:pt idx="0">
                  <c:v>7119.4529249999996</c:v>
                </c:pt>
                <c:pt idx="1">
                  <c:v>11464.11045</c:v>
                </c:pt>
                <c:pt idx="2">
                  <c:v>10715.149574999999</c:v>
                </c:pt>
                <c:pt idx="3">
                  <c:v>14528.940074999999</c:v>
                </c:pt>
                <c:pt idx="4">
                  <c:v>11778.866999999998</c:v>
                </c:pt>
                <c:pt idx="5">
                  <c:v>24616.755000000001</c:v>
                </c:pt>
                <c:pt idx="6">
                  <c:v>33856.1325</c:v>
                </c:pt>
              </c:numCache>
            </c:numRef>
          </c:val>
          <c:extLst>
            <c:ext xmlns:c16="http://schemas.microsoft.com/office/drawing/2014/chart" uri="{C3380CC4-5D6E-409C-BE32-E72D297353CC}">
              <c16:uniqueId val="{00000004-E24C-4CC8-82CE-F3AF8B4BC614}"/>
            </c:ext>
          </c:extLst>
        </c:ser>
        <c:ser>
          <c:idx val="5"/>
          <c:order val="5"/>
          <c:tx>
            <c:strRef>
              <c:f>Construction!$C$137</c:f>
              <c:strCache>
                <c:ptCount val="1"/>
                <c:pt idx="0">
                  <c:v>Plasterboard</c:v>
                </c:pt>
              </c:strCache>
            </c:strRef>
          </c:tx>
          <c:spPr>
            <a:solidFill>
              <a:srgbClr val="4F8797"/>
            </a:solidFill>
            <a:ln>
              <a:noFill/>
            </a:ln>
            <a:effectLst/>
          </c:spPr>
          <c:invertIfNegative val="0"/>
          <c:cat>
            <c:numRef>
              <c:f>Construction!$E$123:$K$123</c:f>
              <c:numCache>
                <c:formatCode>General</c:formatCode>
                <c:ptCount val="7"/>
                <c:pt idx="0">
                  <c:v>1991</c:v>
                </c:pt>
                <c:pt idx="1">
                  <c:v>1996</c:v>
                </c:pt>
                <c:pt idx="2">
                  <c:v>2001</c:v>
                </c:pt>
                <c:pt idx="3">
                  <c:v>2006</c:v>
                </c:pt>
                <c:pt idx="4">
                  <c:v>2011</c:v>
                </c:pt>
                <c:pt idx="5">
                  <c:v>2016</c:v>
                </c:pt>
                <c:pt idx="6">
                  <c:v>2021</c:v>
                </c:pt>
              </c:numCache>
            </c:numRef>
          </c:cat>
          <c:val>
            <c:numRef>
              <c:f>Construction!$E$137:$K$137</c:f>
              <c:numCache>
                <c:formatCode>#,##0</c:formatCode>
                <c:ptCount val="7"/>
                <c:pt idx="0">
                  <c:v>52651.682850000005</c:v>
                </c:pt>
                <c:pt idx="1">
                  <c:v>85053.779557500005</c:v>
                </c:pt>
                <c:pt idx="2">
                  <c:v>79531.258072500001</c:v>
                </c:pt>
                <c:pt idx="3">
                  <c:v>107947.54444500001</c:v>
                </c:pt>
                <c:pt idx="4">
                  <c:v>56867.951984999992</c:v>
                </c:pt>
                <c:pt idx="5">
                  <c:v>118853.58205500001</c:v>
                </c:pt>
                <c:pt idx="6">
                  <c:v>163312.45661249998</c:v>
                </c:pt>
              </c:numCache>
            </c:numRef>
          </c:val>
          <c:extLst>
            <c:ext xmlns:c16="http://schemas.microsoft.com/office/drawing/2014/chart" uri="{C3380CC4-5D6E-409C-BE32-E72D297353CC}">
              <c16:uniqueId val="{00000005-E24C-4CC8-82CE-F3AF8B4BC614}"/>
            </c:ext>
          </c:extLst>
        </c:ser>
        <c:ser>
          <c:idx val="6"/>
          <c:order val="6"/>
          <c:tx>
            <c:strRef>
              <c:f>Construction!$C$138</c:f>
              <c:strCache>
                <c:ptCount val="1"/>
                <c:pt idx="0">
                  <c:v>Fibreglass</c:v>
                </c:pt>
              </c:strCache>
            </c:strRef>
          </c:tx>
          <c:spPr>
            <a:solidFill>
              <a:schemeClr val="accent1">
                <a:lumMod val="60000"/>
              </a:schemeClr>
            </a:solidFill>
            <a:ln>
              <a:noFill/>
            </a:ln>
            <a:effectLst/>
          </c:spPr>
          <c:invertIfNegative val="0"/>
          <c:cat>
            <c:numRef>
              <c:f>Construction!$E$123:$K$123</c:f>
              <c:numCache>
                <c:formatCode>General</c:formatCode>
                <c:ptCount val="7"/>
                <c:pt idx="0">
                  <c:v>1991</c:v>
                </c:pt>
                <c:pt idx="1">
                  <c:v>1996</c:v>
                </c:pt>
                <c:pt idx="2">
                  <c:v>2001</c:v>
                </c:pt>
                <c:pt idx="3">
                  <c:v>2006</c:v>
                </c:pt>
                <c:pt idx="4">
                  <c:v>2011</c:v>
                </c:pt>
                <c:pt idx="5">
                  <c:v>2016</c:v>
                </c:pt>
                <c:pt idx="6">
                  <c:v>2021</c:v>
                </c:pt>
              </c:numCache>
            </c:numRef>
          </c:cat>
          <c:val>
            <c:numRef>
              <c:f>Construction!$E$138:$K$138</c:f>
              <c:numCache>
                <c:formatCode>#,##0</c:formatCode>
                <c:ptCount val="7"/>
                <c:pt idx="0">
                  <c:v>4018.4864841797998</c:v>
                </c:pt>
                <c:pt idx="1">
                  <c:v>6470.7742830492007</c:v>
                </c:pt>
                <c:pt idx="2">
                  <c:v>6048.0326503602</c:v>
                </c:pt>
                <c:pt idx="3">
                  <c:v>9400.7785634693973</c:v>
                </c:pt>
                <c:pt idx="4">
                  <c:v>5059.2966462143995</c:v>
                </c:pt>
                <c:pt idx="5">
                  <c:v>10353.186810774001</c:v>
                </c:pt>
                <c:pt idx="6">
                  <c:v>13633.119722834999</c:v>
                </c:pt>
              </c:numCache>
            </c:numRef>
          </c:val>
          <c:extLst>
            <c:ext xmlns:c16="http://schemas.microsoft.com/office/drawing/2014/chart" uri="{C3380CC4-5D6E-409C-BE32-E72D297353CC}">
              <c16:uniqueId val="{00000006-E24C-4CC8-82CE-F3AF8B4BC614}"/>
            </c:ext>
          </c:extLst>
        </c:ser>
        <c:ser>
          <c:idx val="7"/>
          <c:order val="7"/>
          <c:tx>
            <c:strRef>
              <c:f>Construction!$C$139</c:f>
              <c:strCache>
                <c:ptCount val="1"/>
                <c:pt idx="0">
                  <c:v>Fibre-cement</c:v>
                </c:pt>
              </c:strCache>
            </c:strRef>
          </c:tx>
          <c:spPr>
            <a:solidFill>
              <a:srgbClr val="9E4A23"/>
            </a:solidFill>
            <a:ln>
              <a:noFill/>
            </a:ln>
            <a:effectLst/>
          </c:spPr>
          <c:invertIfNegative val="0"/>
          <c:cat>
            <c:numRef>
              <c:f>Construction!$E$123:$K$123</c:f>
              <c:numCache>
                <c:formatCode>General</c:formatCode>
                <c:ptCount val="7"/>
                <c:pt idx="0">
                  <c:v>1991</c:v>
                </c:pt>
                <c:pt idx="1">
                  <c:v>1996</c:v>
                </c:pt>
                <c:pt idx="2">
                  <c:v>2001</c:v>
                </c:pt>
                <c:pt idx="3">
                  <c:v>2006</c:v>
                </c:pt>
                <c:pt idx="4">
                  <c:v>2011</c:v>
                </c:pt>
                <c:pt idx="5">
                  <c:v>2016</c:v>
                </c:pt>
                <c:pt idx="6">
                  <c:v>2021</c:v>
                </c:pt>
              </c:numCache>
            </c:numRef>
          </c:cat>
          <c:val>
            <c:numRef>
              <c:f>Construction!$E$139:$K$139</c:f>
              <c:numCache>
                <c:formatCode>#,##0</c:formatCode>
                <c:ptCount val="7"/>
                <c:pt idx="0">
                  <c:v>11044.951321776</c:v>
                </c:pt>
                <c:pt idx="1">
                  <c:v>17785.150516704001</c:v>
                </c:pt>
                <c:pt idx="2">
                  <c:v>16623.230283024001</c:v>
                </c:pt>
                <c:pt idx="3">
                  <c:v>15986.097891785599</c:v>
                </c:pt>
                <c:pt idx="4">
                  <c:v>8032.9820799615991</c:v>
                </c:pt>
                <c:pt idx="5">
                  <c:v>18762.107301152002</c:v>
                </c:pt>
                <c:pt idx="6">
                  <c:v>29307.222537299996</c:v>
                </c:pt>
              </c:numCache>
            </c:numRef>
          </c:val>
          <c:extLst>
            <c:ext xmlns:c16="http://schemas.microsoft.com/office/drawing/2014/chart" uri="{C3380CC4-5D6E-409C-BE32-E72D297353CC}">
              <c16:uniqueId val="{00000007-E24C-4CC8-82CE-F3AF8B4BC614}"/>
            </c:ext>
          </c:extLst>
        </c:ser>
        <c:dLbls>
          <c:showLegendKey val="0"/>
          <c:showVal val="0"/>
          <c:showCatName val="0"/>
          <c:showSerName val="0"/>
          <c:showPercent val="0"/>
          <c:showBubbleSize val="0"/>
        </c:dLbls>
        <c:gapWidth val="150"/>
        <c:overlap val="100"/>
        <c:axId val="543348464"/>
        <c:axId val="543351792"/>
      </c:barChart>
      <c:lineChart>
        <c:grouping val="standard"/>
        <c:varyColors val="0"/>
        <c:ser>
          <c:idx val="8"/>
          <c:order val="8"/>
          <c:tx>
            <c:v>No. New Dwellings</c:v>
          </c:tx>
          <c:spPr>
            <a:ln w="28575" cap="rnd">
              <a:solidFill>
                <a:schemeClr val="accent3">
                  <a:lumMod val="60000"/>
                </a:schemeClr>
              </a:solidFill>
              <a:round/>
            </a:ln>
            <a:effectLst/>
          </c:spPr>
          <c:marker>
            <c:symbol val="none"/>
          </c:marker>
          <c:cat>
            <c:numRef>
              <c:f>Construction!$E$123:$K$123</c:f>
              <c:numCache>
                <c:formatCode>General</c:formatCode>
                <c:ptCount val="7"/>
                <c:pt idx="0">
                  <c:v>1991</c:v>
                </c:pt>
                <c:pt idx="1">
                  <c:v>1996</c:v>
                </c:pt>
                <c:pt idx="2">
                  <c:v>2001</c:v>
                </c:pt>
                <c:pt idx="3">
                  <c:v>2006</c:v>
                </c:pt>
                <c:pt idx="4">
                  <c:v>2011</c:v>
                </c:pt>
                <c:pt idx="5">
                  <c:v>2016</c:v>
                </c:pt>
                <c:pt idx="6">
                  <c:v>2021</c:v>
                </c:pt>
              </c:numCache>
            </c:numRef>
          </c:cat>
          <c:val>
            <c:numRef>
              <c:f>Construction!$F$18:$L$18</c:f>
              <c:numCache>
                <c:formatCode>#,##0</c:formatCode>
                <c:ptCount val="7"/>
                <c:pt idx="0">
                  <c:v>17518</c:v>
                </c:pt>
                <c:pt idx="1">
                  <c:v>22823</c:v>
                </c:pt>
                <c:pt idx="2">
                  <c:v>20539</c:v>
                </c:pt>
                <c:pt idx="3">
                  <c:v>25952</c:v>
                </c:pt>
                <c:pt idx="4">
                  <c:v>13662</c:v>
                </c:pt>
                <c:pt idx="5">
                  <c:v>30066</c:v>
                </c:pt>
                <c:pt idx="6">
                  <c:v>48899</c:v>
                </c:pt>
              </c:numCache>
            </c:numRef>
          </c:val>
          <c:smooth val="0"/>
          <c:extLst>
            <c:ext xmlns:c16="http://schemas.microsoft.com/office/drawing/2014/chart" uri="{C3380CC4-5D6E-409C-BE32-E72D297353CC}">
              <c16:uniqueId val="{00000008-E24C-4CC8-82CE-F3AF8B4BC614}"/>
            </c:ext>
          </c:extLst>
        </c:ser>
        <c:dLbls>
          <c:showLegendKey val="0"/>
          <c:showVal val="0"/>
          <c:showCatName val="0"/>
          <c:showSerName val="0"/>
          <c:showPercent val="0"/>
          <c:showBubbleSize val="0"/>
        </c:dLbls>
        <c:marker val="1"/>
        <c:smooth val="0"/>
        <c:axId val="543298544"/>
        <c:axId val="543305616"/>
      </c:lineChart>
      <c:catAx>
        <c:axId val="543348464"/>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NZ"/>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3351792"/>
        <c:crosses val="autoZero"/>
        <c:auto val="1"/>
        <c:lblAlgn val="ctr"/>
        <c:lblOffset val="100"/>
        <c:noMultiLvlLbl val="0"/>
      </c:catAx>
      <c:valAx>
        <c:axId val="54335179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NZ"/>
                  <a:t>Material Mass (T)</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3348464"/>
        <c:crosses val="autoZero"/>
        <c:crossBetween val="between"/>
      </c:valAx>
      <c:valAx>
        <c:axId val="543305616"/>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NZ"/>
                  <a:t>No. New Dwellings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3298544"/>
        <c:crosses val="max"/>
        <c:crossBetween val="between"/>
      </c:valAx>
      <c:catAx>
        <c:axId val="543298544"/>
        <c:scaling>
          <c:orientation val="minMax"/>
        </c:scaling>
        <c:delete val="1"/>
        <c:axPos val="b"/>
        <c:numFmt formatCode="General" sourceLinked="1"/>
        <c:majorTickMark val="out"/>
        <c:minorTickMark val="none"/>
        <c:tickLblPos val="nextTo"/>
        <c:crossAx val="543305616"/>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areaChart>
        <c:grouping val="stacked"/>
        <c:varyColors val="0"/>
        <c:ser>
          <c:idx val="0"/>
          <c:order val="0"/>
          <c:tx>
            <c:strRef>
              <c:f>Construction!$C$139</c:f>
              <c:strCache>
                <c:ptCount val="1"/>
                <c:pt idx="0">
                  <c:v>Fibre-cement</c:v>
                </c:pt>
              </c:strCache>
            </c:strRef>
          </c:tx>
          <c:spPr>
            <a:solidFill>
              <a:srgbClr val="B26476"/>
            </a:solidFill>
            <a:ln>
              <a:noFill/>
            </a:ln>
            <a:effectLst/>
          </c:spPr>
          <c:cat>
            <c:numRef>
              <c:f>Construction!$E$123:$K$123</c:f>
              <c:numCache>
                <c:formatCode>General</c:formatCode>
                <c:ptCount val="7"/>
                <c:pt idx="0">
                  <c:v>1991</c:v>
                </c:pt>
                <c:pt idx="1">
                  <c:v>1996</c:v>
                </c:pt>
                <c:pt idx="2">
                  <c:v>2001</c:v>
                </c:pt>
                <c:pt idx="3">
                  <c:v>2006</c:v>
                </c:pt>
                <c:pt idx="4">
                  <c:v>2011</c:v>
                </c:pt>
                <c:pt idx="5">
                  <c:v>2016</c:v>
                </c:pt>
                <c:pt idx="6">
                  <c:v>2021</c:v>
                </c:pt>
              </c:numCache>
            </c:numRef>
          </c:cat>
          <c:val>
            <c:numRef>
              <c:f>Construction!$E$139:$K$139</c:f>
              <c:numCache>
                <c:formatCode>#,##0</c:formatCode>
                <c:ptCount val="7"/>
                <c:pt idx="0">
                  <c:v>11044.951321776</c:v>
                </c:pt>
                <c:pt idx="1">
                  <c:v>17785.150516704001</c:v>
                </c:pt>
                <c:pt idx="2">
                  <c:v>16623.230283024001</c:v>
                </c:pt>
                <c:pt idx="3">
                  <c:v>15986.097891785599</c:v>
                </c:pt>
                <c:pt idx="4">
                  <c:v>8032.9820799615991</c:v>
                </c:pt>
                <c:pt idx="5">
                  <c:v>18762.107301152002</c:v>
                </c:pt>
                <c:pt idx="6">
                  <c:v>29307.222537299996</c:v>
                </c:pt>
              </c:numCache>
            </c:numRef>
          </c:val>
          <c:extLst>
            <c:ext xmlns:c16="http://schemas.microsoft.com/office/drawing/2014/chart" uri="{C3380CC4-5D6E-409C-BE32-E72D297353CC}">
              <c16:uniqueId val="{00000000-EBC4-4AC7-A237-0E20BCDF8A95}"/>
            </c:ext>
          </c:extLst>
        </c:ser>
        <c:dLbls>
          <c:showLegendKey val="0"/>
          <c:showVal val="0"/>
          <c:showCatName val="0"/>
          <c:showSerName val="0"/>
          <c:showPercent val="0"/>
          <c:showBubbleSize val="0"/>
        </c:dLbls>
        <c:axId val="1942520576"/>
        <c:axId val="1942526816"/>
      </c:areaChart>
      <c:catAx>
        <c:axId val="1942520576"/>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NZ"/>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42526816"/>
        <c:crosses val="autoZero"/>
        <c:auto val="1"/>
        <c:lblAlgn val="ctr"/>
        <c:lblOffset val="100"/>
        <c:noMultiLvlLbl val="0"/>
      </c:catAx>
      <c:valAx>
        <c:axId val="194252681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NZ"/>
                  <a:t>Mass (T)</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42520576"/>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Estimated Residential Building Waste Sources</a:t>
            </a:r>
          </a:p>
        </c:rich>
      </c:tx>
      <c:layout>
        <c:manualLayout>
          <c:xMode val="edge"/>
          <c:yMode val="edge"/>
          <c:x val="0.13702077865266843"/>
          <c:y val="2.77777777777777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percentStacked"/>
        <c:varyColors val="0"/>
        <c:ser>
          <c:idx val="0"/>
          <c:order val="0"/>
          <c:tx>
            <c:strRef>
              <c:f>'Material Output'!$C$95</c:f>
              <c:strCache>
                <c:ptCount val="1"/>
                <c:pt idx="0">
                  <c:v>Envelope Waste</c:v>
                </c:pt>
              </c:strCache>
            </c:strRef>
          </c:tx>
          <c:spPr>
            <a:solidFill>
              <a:srgbClr val="4F8797">
                <a:alpha val="85490"/>
              </a:srgbClr>
            </a:solidFill>
            <a:ln>
              <a:noFill/>
            </a:ln>
            <a:effectLst/>
          </c:spPr>
          <c:invertIfNegative val="0"/>
          <c:cat>
            <c:strRef>
              <c:f>'Material Output'!$B$96:$B$105</c:f>
              <c:strCache>
                <c:ptCount val="10"/>
                <c:pt idx="0">
                  <c:v>Aluminium</c:v>
                </c:pt>
                <c:pt idx="1">
                  <c:v>Bricks/blocks</c:v>
                </c:pt>
                <c:pt idx="2">
                  <c:v>Concrete</c:v>
                </c:pt>
                <c:pt idx="3">
                  <c:v>Fibre cement</c:v>
                </c:pt>
                <c:pt idx="4">
                  <c:v>Glass</c:v>
                </c:pt>
                <c:pt idx="5">
                  <c:v>Fibreglass</c:v>
                </c:pt>
                <c:pt idx="6">
                  <c:v>Plasterboard</c:v>
                </c:pt>
                <c:pt idx="7">
                  <c:v>Plastics</c:v>
                </c:pt>
                <c:pt idx="8">
                  <c:v>Steel</c:v>
                </c:pt>
                <c:pt idx="9">
                  <c:v>Timber</c:v>
                </c:pt>
              </c:strCache>
            </c:strRef>
          </c:cat>
          <c:val>
            <c:numRef>
              <c:f>'Material Output'!$C$96:$C$105</c:f>
              <c:numCache>
                <c:formatCode>#,##0</c:formatCode>
                <c:ptCount val="10"/>
                <c:pt idx="0">
                  <c:v>141.35220303030292</c:v>
                </c:pt>
                <c:pt idx="1">
                  <c:v>12575.046404825815</c:v>
                </c:pt>
                <c:pt idx="2">
                  <c:v>53501.467550937552</c:v>
                </c:pt>
                <c:pt idx="3">
                  <c:v>6433.2927520902376</c:v>
                </c:pt>
                <c:pt idx="4">
                  <c:v>341.98113636363996</c:v>
                </c:pt>
                <c:pt idx="5">
                  <c:v>2405.8446569708831</c:v>
                </c:pt>
                <c:pt idx="6">
                  <c:v>48781.642884253233</c:v>
                </c:pt>
                <c:pt idx="7">
                  <c:v>1441.4215476219797</c:v>
                </c:pt>
                <c:pt idx="8">
                  <c:v>1240.9827903362457</c:v>
                </c:pt>
                <c:pt idx="9">
                  <c:v>19971.836126673559</c:v>
                </c:pt>
              </c:numCache>
            </c:numRef>
          </c:val>
          <c:extLst>
            <c:ext xmlns:c16="http://schemas.microsoft.com/office/drawing/2014/chart" uri="{C3380CC4-5D6E-409C-BE32-E72D297353CC}">
              <c16:uniqueId val="{00000000-8FE5-4E08-AB01-CC3268A8AED3}"/>
            </c:ext>
          </c:extLst>
        </c:ser>
        <c:ser>
          <c:idx val="1"/>
          <c:order val="1"/>
          <c:tx>
            <c:strRef>
              <c:f>'Material Output'!$D$95</c:f>
              <c:strCache>
                <c:ptCount val="1"/>
                <c:pt idx="0">
                  <c:v>Other Building Waste</c:v>
                </c:pt>
              </c:strCache>
            </c:strRef>
          </c:tx>
          <c:spPr>
            <a:solidFill>
              <a:srgbClr val="B26476"/>
            </a:solidFill>
            <a:ln>
              <a:noFill/>
            </a:ln>
            <a:effectLst/>
          </c:spPr>
          <c:invertIfNegative val="0"/>
          <c:cat>
            <c:strRef>
              <c:f>'Material Output'!$B$96:$B$105</c:f>
              <c:strCache>
                <c:ptCount val="10"/>
                <c:pt idx="0">
                  <c:v>Aluminium</c:v>
                </c:pt>
                <c:pt idx="1">
                  <c:v>Bricks/blocks</c:v>
                </c:pt>
                <c:pt idx="2">
                  <c:v>Concrete</c:v>
                </c:pt>
                <c:pt idx="3">
                  <c:v>Fibre cement</c:v>
                </c:pt>
                <c:pt idx="4">
                  <c:v>Glass</c:v>
                </c:pt>
                <c:pt idx="5">
                  <c:v>Fibreglass</c:v>
                </c:pt>
                <c:pt idx="6">
                  <c:v>Plasterboard</c:v>
                </c:pt>
                <c:pt idx="7">
                  <c:v>Plastics</c:v>
                </c:pt>
                <c:pt idx="8">
                  <c:v>Steel</c:v>
                </c:pt>
                <c:pt idx="9">
                  <c:v>Timber</c:v>
                </c:pt>
              </c:strCache>
            </c:strRef>
          </c:cat>
          <c:val>
            <c:numRef>
              <c:f>'Material Output'!$D$96:$D$105</c:f>
              <c:numCache>
                <c:formatCode>#,##0</c:formatCode>
                <c:ptCount val="10"/>
                <c:pt idx="0">
                  <c:v>46.940440743627818</c:v>
                </c:pt>
                <c:pt idx="1">
                  <c:v>4175.9393059303984</c:v>
                </c:pt>
                <c:pt idx="2">
                  <c:v>17766.843483391087</c:v>
                </c:pt>
                <c:pt idx="3">
                  <c:v>2136.377012469793</c:v>
                </c:pt>
                <c:pt idx="4">
                  <c:v>113.56558244426213</c:v>
                </c:pt>
                <c:pt idx="5">
                  <c:v>798.93631749556243</c:v>
                </c:pt>
                <c:pt idx="6">
                  <c:v>16199.477391195745</c:v>
                </c:pt>
                <c:pt idx="7">
                  <c:v>478.66931885195163</c:v>
                </c:pt>
                <c:pt idx="8">
                  <c:v>412.10733108384875</c:v>
                </c:pt>
                <c:pt idx="9">
                  <c:v>6632.2757632902867</c:v>
                </c:pt>
              </c:numCache>
            </c:numRef>
          </c:val>
          <c:extLst>
            <c:ext xmlns:c16="http://schemas.microsoft.com/office/drawing/2014/chart" uri="{C3380CC4-5D6E-409C-BE32-E72D297353CC}">
              <c16:uniqueId val="{00000001-8FE5-4E08-AB01-CC3268A8AED3}"/>
            </c:ext>
          </c:extLst>
        </c:ser>
        <c:ser>
          <c:idx val="2"/>
          <c:order val="2"/>
          <c:tx>
            <c:strRef>
              <c:f>'Material Output'!$E$95</c:f>
              <c:strCache>
                <c:ptCount val="1"/>
                <c:pt idx="0">
                  <c:v>Alteration Waste</c:v>
                </c:pt>
              </c:strCache>
            </c:strRef>
          </c:tx>
          <c:spPr>
            <a:solidFill>
              <a:schemeClr val="accent3"/>
            </a:solidFill>
            <a:ln>
              <a:noFill/>
            </a:ln>
            <a:effectLst/>
          </c:spPr>
          <c:invertIfNegative val="0"/>
          <c:cat>
            <c:strRef>
              <c:f>'Material Output'!$B$96:$B$105</c:f>
              <c:strCache>
                <c:ptCount val="10"/>
                <c:pt idx="0">
                  <c:v>Aluminium</c:v>
                </c:pt>
                <c:pt idx="1">
                  <c:v>Bricks/blocks</c:v>
                </c:pt>
                <c:pt idx="2">
                  <c:v>Concrete</c:v>
                </c:pt>
                <c:pt idx="3">
                  <c:v>Fibre cement</c:v>
                </c:pt>
                <c:pt idx="4">
                  <c:v>Glass</c:v>
                </c:pt>
                <c:pt idx="5">
                  <c:v>Fibreglass</c:v>
                </c:pt>
                <c:pt idx="6">
                  <c:v>Plasterboard</c:v>
                </c:pt>
                <c:pt idx="7">
                  <c:v>Plastics</c:v>
                </c:pt>
                <c:pt idx="8">
                  <c:v>Steel</c:v>
                </c:pt>
                <c:pt idx="9">
                  <c:v>Timber</c:v>
                </c:pt>
              </c:strCache>
            </c:strRef>
          </c:cat>
          <c:val>
            <c:numRef>
              <c:f>'Material Output'!$E$96:$E$105</c:f>
              <c:numCache>
                <c:formatCode>#,##0</c:formatCode>
                <c:ptCount val="10"/>
                <c:pt idx="0">
                  <c:v>24.128493361684615</c:v>
                </c:pt>
                <c:pt idx="1">
                  <c:v>2146.5312686825937</c:v>
                </c:pt>
                <c:pt idx="2">
                  <c:v>9132.5764789561708</c:v>
                </c:pt>
                <c:pt idx="3">
                  <c:v>1098.1481585349325</c:v>
                </c:pt>
                <c:pt idx="4">
                  <c:v>58.375387165366668</c:v>
                </c:pt>
                <c:pt idx="5">
                  <c:v>410.67210549609752</c:v>
                </c:pt>
                <c:pt idx="6">
                  <c:v>8326.9133502818077</c:v>
                </c:pt>
                <c:pt idx="7">
                  <c:v>246.04731654398162</c:v>
                </c:pt>
                <c:pt idx="8">
                  <c:v>211.83288535074195</c:v>
                </c:pt>
                <c:pt idx="9">
                  <c:v>3409.1461262884523</c:v>
                </c:pt>
              </c:numCache>
            </c:numRef>
          </c:val>
          <c:extLst>
            <c:ext xmlns:c16="http://schemas.microsoft.com/office/drawing/2014/chart" uri="{C3380CC4-5D6E-409C-BE32-E72D297353CC}">
              <c16:uniqueId val="{00000002-8FE5-4E08-AB01-CC3268A8AED3}"/>
            </c:ext>
          </c:extLst>
        </c:ser>
        <c:ser>
          <c:idx val="3"/>
          <c:order val="3"/>
          <c:tx>
            <c:strRef>
              <c:f>'Material Output'!$F$95</c:f>
              <c:strCache>
                <c:ptCount val="1"/>
                <c:pt idx="0">
                  <c:v>Demolition Waste</c:v>
                </c:pt>
              </c:strCache>
            </c:strRef>
          </c:tx>
          <c:spPr>
            <a:solidFill>
              <a:srgbClr val="9BB7D7"/>
            </a:solidFill>
            <a:ln>
              <a:noFill/>
            </a:ln>
            <a:effectLst/>
          </c:spPr>
          <c:invertIfNegative val="0"/>
          <c:cat>
            <c:strRef>
              <c:f>'Material Output'!$B$96:$B$105</c:f>
              <c:strCache>
                <c:ptCount val="10"/>
                <c:pt idx="0">
                  <c:v>Aluminium</c:v>
                </c:pt>
                <c:pt idx="1">
                  <c:v>Bricks/blocks</c:v>
                </c:pt>
                <c:pt idx="2">
                  <c:v>Concrete</c:v>
                </c:pt>
                <c:pt idx="3">
                  <c:v>Fibre cement</c:v>
                </c:pt>
                <c:pt idx="4">
                  <c:v>Glass</c:v>
                </c:pt>
                <c:pt idx="5">
                  <c:v>Fibreglass</c:v>
                </c:pt>
                <c:pt idx="6">
                  <c:v>Plasterboard</c:v>
                </c:pt>
                <c:pt idx="7">
                  <c:v>Plastics</c:v>
                </c:pt>
                <c:pt idx="8">
                  <c:v>Steel</c:v>
                </c:pt>
                <c:pt idx="9">
                  <c:v>Timber</c:v>
                </c:pt>
              </c:strCache>
            </c:strRef>
          </c:cat>
          <c:val>
            <c:numRef>
              <c:f>'Material Output'!$F$96:$F$105</c:f>
              <c:numCache>
                <c:formatCode>#,##0</c:formatCode>
                <c:ptCount val="10"/>
                <c:pt idx="0">
                  <c:v>851.85949782533544</c:v>
                </c:pt>
                <c:pt idx="1">
                  <c:v>14544.318993213819</c:v>
                </c:pt>
                <c:pt idx="2">
                  <c:v>78164.063783096717</c:v>
                </c:pt>
                <c:pt idx="3">
                  <c:v>1784.0411024940081</c:v>
                </c:pt>
                <c:pt idx="4">
                  <c:v>2060.9503979645215</c:v>
                </c:pt>
                <c:pt idx="5">
                  <c:v>829.8993843515575</c:v>
                </c:pt>
                <c:pt idx="6">
                  <c:v>9941.4448017089817</c:v>
                </c:pt>
                <c:pt idx="7">
                  <c:v>1667.1504913302444</c:v>
                </c:pt>
                <c:pt idx="8">
                  <c:v>3701.6217019152878</c:v>
                </c:pt>
                <c:pt idx="9">
                  <c:v>12678.649846099534</c:v>
                </c:pt>
              </c:numCache>
            </c:numRef>
          </c:val>
          <c:extLst>
            <c:ext xmlns:c16="http://schemas.microsoft.com/office/drawing/2014/chart" uri="{C3380CC4-5D6E-409C-BE32-E72D297353CC}">
              <c16:uniqueId val="{00000003-8FE5-4E08-AB01-CC3268A8AED3}"/>
            </c:ext>
          </c:extLst>
        </c:ser>
        <c:dLbls>
          <c:showLegendKey val="0"/>
          <c:showVal val="0"/>
          <c:showCatName val="0"/>
          <c:showSerName val="0"/>
          <c:showPercent val="0"/>
          <c:showBubbleSize val="0"/>
        </c:dLbls>
        <c:gapWidth val="150"/>
        <c:overlap val="100"/>
        <c:axId val="583470288"/>
        <c:axId val="583470616"/>
      </c:barChart>
      <c:catAx>
        <c:axId val="5834702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83470616"/>
        <c:crosses val="autoZero"/>
        <c:auto val="1"/>
        <c:lblAlgn val="ctr"/>
        <c:lblOffset val="100"/>
        <c:noMultiLvlLbl val="0"/>
      </c:catAx>
      <c:valAx>
        <c:axId val="58347061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8347028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Mass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rgbClr val="B391CD"/>
              </a:solidFill>
              <a:ln w="19050">
                <a:solidFill>
                  <a:schemeClr val="lt1"/>
                </a:solidFill>
              </a:ln>
              <a:effectLst/>
            </c:spPr>
            <c:extLst>
              <c:ext xmlns:c16="http://schemas.microsoft.com/office/drawing/2014/chart" uri="{C3380CC4-5D6E-409C-BE32-E72D297353CC}">
                <c16:uniqueId val="{00000001-233D-485E-A385-25DBB18361D7}"/>
              </c:ext>
            </c:extLst>
          </c:dPt>
          <c:dPt>
            <c:idx val="1"/>
            <c:bubble3D val="0"/>
            <c:spPr>
              <a:solidFill>
                <a:srgbClr val="B87A71"/>
              </a:solidFill>
              <a:ln w="19050">
                <a:solidFill>
                  <a:schemeClr val="lt1"/>
                </a:solidFill>
              </a:ln>
              <a:effectLst/>
            </c:spPr>
            <c:extLst>
              <c:ext xmlns:c16="http://schemas.microsoft.com/office/drawing/2014/chart" uri="{C3380CC4-5D6E-409C-BE32-E72D297353CC}">
                <c16:uniqueId val="{00000003-233D-485E-A385-25DBB18361D7}"/>
              </c:ext>
            </c:extLst>
          </c:dPt>
          <c:dPt>
            <c:idx val="2"/>
            <c:bubble3D val="0"/>
            <c:explosion val="1"/>
            <c:spPr>
              <a:solidFill>
                <a:srgbClr val="A5A5A5"/>
              </a:solidFill>
              <a:ln w="19050">
                <a:solidFill>
                  <a:schemeClr val="lt1"/>
                </a:solidFill>
              </a:ln>
              <a:effectLst/>
            </c:spPr>
            <c:extLst>
              <c:ext xmlns:c16="http://schemas.microsoft.com/office/drawing/2014/chart" uri="{C3380CC4-5D6E-409C-BE32-E72D297353CC}">
                <c16:uniqueId val="{00000001-F5F6-4685-81EA-ADE7D3F0F3AA}"/>
              </c:ext>
            </c:extLst>
          </c:dPt>
          <c:dPt>
            <c:idx val="3"/>
            <c:bubble3D val="0"/>
            <c:spPr>
              <a:solidFill>
                <a:srgbClr val="D4C000"/>
              </a:solidFill>
              <a:ln w="19050">
                <a:solidFill>
                  <a:schemeClr val="lt1"/>
                </a:solidFill>
              </a:ln>
              <a:effectLst/>
            </c:spPr>
            <c:extLst>
              <c:ext xmlns:c16="http://schemas.microsoft.com/office/drawing/2014/chart" uri="{C3380CC4-5D6E-409C-BE32-E72D297353CC}">
                <c16:uniqueId val="{00000007-233D-485E-A385-25DBB18361D7}"/>
              </c:ext>
            </c:extLst>
          </c:dPt>
          <c:dPt>
            <c:idx val="4"/>
            <c:bubble3D val="0"/>
            <c:spPr>
              <a:solidFill>
                <a:srgbClr val="5B9BD5"/>
              </a:solidFill>
              <a:ln w="19050">
                <a:solidFill>
                  <a:schemeClr val="lt1"/>
                </a:solidFill>
              </a:ln>
              <a:effectLst/>
            </c:spPr>
            <c:extLst>
              <c:ext xmlns:c16="http://schemas.microsoft.com/office/drawing/2014/chart" uri="{C3380CC4-5D6E-409C-BE32-E72D297353CC}">
                <c16:uniqueId val="{00000009-233D-485E-A385-25DBB18361D7}"/>
              </c:ext>
            </c:extLst>
          </c:dPt>
          <c:dPt>
            <c:idx val="5"/>
            <c:bubble3D val="0"/>
            <c:spPr>
              <a:solidFill>
                <a:srgbClr val="4F8797"/>
              </a:solidFill>
              <a:ln w="19050">
                <a:solidFill>
                  <a:schemeClr val="lt1"/>
                </a:solidFill>
              </a:ln>
              <a:effectLst/>
            </c:spPr>
            <c:extLst>
              <c:ext xmlns:c16="http://schemas.microsoft.com/office/drawing/2014/chart" uri="{C3380CC4-5D6E-409C-BE32-E72D297353CC}">
                <c16:uniqueId val="{0000000B-233D-485E-A385-25DBB18361D7}"/>
              </c:ext>
            </c:extLst>
          </c:dPt>
          <c:dPt>
            <c:idx val="6"/>
            <c:bubble3D val="0"/>
            <c:spPr>
              <a:solidFill>
                <a:srgbClr val="9BACC8"/>
              </a:solidFill>
              <a:ln w="19050">
                <a:solidFill>
                  <a:schemeClr val="lt1"/>
                </a:solidFill>
              </a:ln>
              <a:effectLst/>
            </c:spPr>
            <c:extLst>
              <c:ext xmlns:c16="http://schemas.microsoft.com/office/drawing/2014/chart" uri="{C3380CC4-5D6E-409C-BE32-E72D297353CC}">
                <c16:uniqueId val="{0000000D-233D-485E-A385-25DBB18361D7}"/>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233D-485E-A385-25DBB18361D7}"/>
              </c:ext>
            </c:extLst>
          </c:dPt>
          <c:dPt>
            <c:idx val="8"/>
            <c:bubble3D val="0"/>
            <c:spPr>
              <a:solidFill>
                <a:srgbClr val="636363"/>
              </a:solidFill>
              <a:ln w="19050">
                <a:solidFill>
                  <a:schemeClr val="lt1"/>
                </a:solidFill>
              </a:ln>
              <a:effectLst/>
            </c:spPr>
            <c:extLst>
              <c:ext xmlns:c16="http://schemas.microsoft.com/office/drawing/2014/chart" uri="{C3380CC4-5D6E-409C-BE32-E72D297353CC}">
                <c16:uniqueId val="{00000011-233D-485E-A385-25DBB18361D7}"/>
              </c:ext>
            </c:extLst>
          </c:dPt>
          <c:dPt>
            <c:idx val="9"/>
            <c:bubble3D val="0"/>
            <c:spPr>
              <a:solidFill>
                <a:srgbClr val="536027">
                  <a:alpha val="69804"/>
                </a:srgbClr>
              </a:solidFill>
              <a:ln w="19050">
                <a:solidFill>
                  <a:schemeClr val="lt1"/>
                </a:solidFill>
              </a:ln>
              <a:effectLst/>
            </c:spPr>
            <c:extLst>
              <c:ext xmlns:c16="http://schemas.microsoft.com/office/drawing/2014/chart" uri="{C3380CC4-5D6E-409C-BE32-E72D297353CC}">
                <c16:uniqueId val="{00000013-233D-485E-A385-25DBB18361D7}"/>
              </c:ext>
            </c:extLst>
          </c:dPt>
          <c:cat>
            <c:strRef>
              <c:f>'Material Output'!$B$96:$B$105</c:f>
              <c:strCache>
                <c:ptCount val="10"/>
                <c:pt idx="0">
                  <c:v>Aluminium</c:v>
                </c:pt>
                <c:pt idx="1">
                  <c:v>Bricks/blocks</c:v>
                </c:pt>
                <c:pt idx="2">
                  <c:v>Concrete</c:v>
                </c:pt>
                <c:pt idx="3">
                  <c:v>Fibre cement</c:v>
                </c:pt>
                <c:pt idx="4">
                  <c:v>Glass</c:v>
                </c:pt>
                <c:pt idx="5">
                  <c:v>Fibreglass</c:v>
                </c:pt>
                <c:pt idx="6">
                  <c:v>Plasterboard</c:v>
                </c:pt>
                <c:pt idx="7">
                  <c:v>Plastics</c:v>
                </c:pt>
                <c:pt idx="8">
                  <c:v>Steel</c:v>
                </c:pt>
                <c:pt idx="9">
                  <c:v>Timber</c:v>
                </c:pt>
              </c:strCache>
            </c:strRef>
          </c:cat>
          <c:val>
            <c:numRef>
              <c:f>'Material Output'!$G$96:$G$105</c:f>
              <c:numCache>
                <c:formatCode>#,##0</c:formatCode>
                <c:ptCount val="10"/>
                <c:pt idx="0">
                  <c:v>1064.2806349609507</c:v>
                </c:pt>
                <c:pt idx="1">
                  <c:v>33441.835972652625</c:v>
                </c:pt>
                <c:pt idx="2">
                  <c:v>158564.95129638154</c:v>
                </c:pt>
                <c:pt idx="3">
                  <c:v>11451.85902558897</c:v>
                </c:pt>
                <c:pt idx="4">
                  <c:v>2574.8725039377905</c:v>
                </c:pt>
                <c:pt idx="5">
                  <c:v>4445.3524643141009</c:v>
                </c:pt>
                <c:pt idx="6">
                  <c:v>83249.478427439753</c:v>
                </c:pt>
                <c:pt idx="7">
                  <c:v>3833.2886743481577</c:v>
                </c:pt>
                <c:pt idx="8">
                  <c:v>5566.5447086861241</c:v>
                </c:pt>
                <c:pt idx="9">
                  <c:v>42691.907862351829</c:v>
                </c:pt>
              </c:numCache>
            </c:numRef>
          </c:val>
          <c:extLst>
            <c:ext xmlns:c16="http://schemas.microsoft.com/office/drawing/2014/chart" uri="{C3380CC4-5D6E-409C-BE32-E72D297353CC}">
              <c16:uniqueId val="{00000000-F5F6-4685-81EA-ADE7D3F0F3AA}"/>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Volume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rgbClr val="B391CD"/>
              </a:solidFill>
              <a:ln w="19050">
                <a:solidFill>
                  <a:schemeClr val="lt1"/>
                </a:solidFill>
              </a:ln>
              <a:effectLst/>
            </c:spPr>
            <c:extLst>
              <c:ext xmlns:c16="http://schemas.microsoft.com/office/drawing/2014/chart" uri="{C3380CC4-5D6E-409C-BE32-E72D297353CC}">
                <c16:uniqueId val="{00000001-63CD-4141-9D88-03B27576398F}"/>
              </c:ext>
            </c:extLst>
          </c:dPt>
          <c:dPt>
            <c:idx val="1"/>
            <c:bubble3D val="0"/>
            <c:spPr>
              <a:solidFill>
                <a:srgbClr val="B87A71"/>
              </a:solidFill>
              <a:ln w="19050">
                <a:solidFill>
                  <a:schemeClr val="lt1"/>
                </a:solidFill>
              </a:ln>
              <a:effectLst/>
            </c:spPr>
            <c:extLst>
              <c:ext xmlns:c16="http://schemas.microsoft.com/office/drawing/2014/chart" uri="{C3380CC4-5D6E-409C-BE32-E72D297353CC}">
                <c16:uniqueId val="{00000003-63CD-4141-9D88-03B27576398F}"/>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63CD-4141-9D88-03B27576398F}"/>
              </c:ext>
            </c:extLst>
          </c:dPt>
          <c:dPt>
            <c:idx val="3"/>
            <c:bubble3D val="0"/>
            <c:spPr>
              <a:solidFill>
                <a:srgbClr val="D4C000"/>
              </a:solidFill>
              <a:ln w="19050">
                <a:solidFill>
                  <a:schemeClr val="lt1"/>
                </a:solidFill>
              </a:ln>
              <a:effectLst/>
            </c:spPr>
            <c:extLst>
              <c:ext xmlns:c16="http://schemas.microsoft.com/office/drawing/2014/chart" uri="{C3380CC4-5D6E-409C-BE32-E72D297353CC}">
                <c16:uniqueId val="{00000007-63CD-4141-9D88-03B27576398F}"/>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63CD-4141-9D88-03B27576398F}"/>
              </c:ext>
            </c:extLst>
          </c:dPt>
          <c:dPt>
            <c:idx val="5"/>
            <c:bubble3D val="0"/>
            <c:spPr>
              <a:solidFill>
                <a:srgbClr val="4F8797"/>
              </a:solidFill>
              <a:ln w="19050">
                <a:solidFill>
                  <a:schemeClr val="lt1"/>
                </a:solidFill>
              </a:ln>
              <a:effectLst/>
            </c:spPr>
            <c:extLst>
              <c:ext xmlns:c16="http://schemas.microsoft.com/office/drawing/2014/chart" uri="{C3380CC4-5D6E-409C-BE32-E72D297353CC}">
                <c16:uniqueId val="{0000000B-63CD-4141-9D88-03B27576398F}"/>
              </c:ext>
            </c:extLst>
          </c:dPt>
          <c:dPt>
            <c:idx val="6"/>
            <c:bubble3D val="0"/>
            <c:spPr>
              <a:solidFill>
                <a:srgbClr val="9BACC8"/>
              </a:solidFill>
              <a:ln w="19050">
                <a:solidFill>
                  <a:schemeClr val="lt1"/>
                </a:solidFill>
              </a:ln>
              <a:effectLst/>
            </c:spPr>
            <c:extLst>
              <c:ext xmlns:c16="http://schemas.microsoft.com/office/drawing/2014/chart" uri="{C3380CC4-5D6E-409C-BE32-E72D297353CC}">
                <c16:uniqueId val="{0000000D-63CD-4141-9D88-03B27576398F}"/>
              </c:ext>
            </c:extLst>
          </c:dPt>
          <c:dPt>
            <c:idx val="7"/>
            <c:bubble3D val="0"/>
            <c:spPr>
              <a:solidFill>
                <a:srgbClr val="9E480E"/>
              </a:solidFill>
              <a:ln w="19050">
                <a:solidFill>
                  <a:schemeClr val="lt1"/>
                </a:solidFill>
              </a:ln>
              <a:effectLst/>
            </c:spPr>
            <c:extLst>
              <c:ext xmlns:c16="http://schemas.microsoft.com/office/drawing/2014/chart" uri="{C3380CC4-5D6E-409C-BE32-E72D297353CC}">
                <c16:uniqueId val="{0000000F-63CD-4141-9D88-03B27576398F}"/>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63CD-4141-9D88-03B27576398F}"/>
              </c:ext>
            </c:extLst>
          </c:dPt>
          <c:dPt>
            <c:idx val="9"/>
            <c:bubble3D val="0"/>
            <c:spPr>
              <a:solidFill>
                <a:srgbClr val="879068"/>
              </a:solidFill>
              <a:ln w="19050">
                <a:solidFill>
                  <a:schemeClr val="lt1"/>
                </a:solidFill>
              </a:ln>
              <a:effectLst/>
            </c:spPr>
            <c:extLst>
              <c:ext xmlns:c16="http://schemas.microsoft.com/office/drawing/2014/chart" uri="{C3380CC4-5D6E-409C-BE32-E72D297353CC}">
                <c16:uniqueId val="{00000013-63CD-4141-9D88-03B27576398F}"/>
              </c:ext>
            </c:extLst>
          </c:dPt>
          <c:cat>
            <c:strRef>
              <c:f>'Material Output'!$B$96:$B$105</c:f>
              <c:strCache>
                <c:ptCount val="10"/>
                <c:pt idx="0">
                  <c:v>Aluminium</c:v>
                </c:pt>
                <c:pt idx="1">
                  <c:v>Bricks/blocks</c:v>
                </c:pt>
                <c:pt idx="2">
                  <c:v>Concrete</c:v>
                </c:pt>
                <c:pt idx="3">
                  <c:v>Fibre cement</c:v>
                </c:pt>
                <c:pt idx="4">
                  <c:v>Glass</c:v>
                </c:pt>
                <c:pt idx="5">
                  <c:v>Fibreglass</c:v>
                </c:pt>
                <c:pt idx="6">
                  <c:v>Plasterboard</c:v>
                </c:pt>
                <c:pt idx="7">
                  <c:v>Plastics</c:v>
                </c:pt>
                <c:pt idx="8">
                  <c:v>Steel</c:v>
                </c:pt>
                <c:pt idx="9">
                  <c:v>Timber</c:v>
                </c:pt>
              </c:strCache>
            </c:strRef>
          </c:cat>
          <c:val>
            <c:numRef>
              <c:f>'Material Output'!$H$96:$H$105</c:f>
              <c:numCache>
                <c:formatCode>#,##0</c:formatCode>
                <c:ptCount val="10"/>
                <c:pt idx="0">
                  <c:v>16893.343412078582</c:v>
                </c:pt>
                <c:pt idx="1">
                  <c:v>22294.557315101749</c:v>
                </c:pt>
                <c:pt idx="2">
                  <c:v>176183.2792182017</c:v>
                </c:pt>
                <c:pt idx="3">
                  <c:v>50897.151224839872</c:v>
                </c:pt>
                <c:pt idx="4">
                  <c:v>6264.8966032549652</c:v>
                </c:pt>
                <c:pt idx="5">
                  <c:v>44453.524643141012</c:v>
                </c:pt>
                <c:pt idx="6">
                  <c:v>349787.72448504099</c:v>
                </c:pt>
                <c:pt idx="7">
                  <c:v>82436.315577379733</c:v>
                </c:pt>
                <c:pt idx="8">
                  <c:v>88357.852518827378</c:v>
                </c:pt>
                <c:pt idx="9">
                  <c:v>239842.17900197656</c:v>
                </c:pt>
              </c:numCache>
            </c:numRef>
          </c:val>
          <c:extLst>
            <c:ext xmlns:c16="http://schemas.microsoft.com/office/drawing/2014/chart" uri="{C3380CC4-5D6E-409C-BE32-E72D297353CC}">
              <c16:uniqueId val="{00000000-9E72-4CD8-9A5B-630CBA2050A0}"/>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areaChart>
        <c:grouping val="stacked"/>
        <c:varyColors val="0"/>
        <c:ser>
          <c:idx val="0"/>
          <c:order val="0"/>
          <c:tx>
            <c:v>LDH</c:v>
          </c:tx>
          <c:spPr>
            <a:solidFill>
              <a:srgbClr val="9BB7D7"/>
            </a:solidFill>
            <a:ln>
              <a:noFill/>
            </a:ln>
            <a:effectLst/>
          </c:spPr>
          <c:cat>
            <c:numRef>
              <c:f>'[1]# New Residential Dwellings'!$E$3:$K$3</c:f>
              <c:numCache>
                <c:formatCode>General</c:formatCode>
                <c:ptCount val="7"/>
                <c:pt idx="0">
                  <c:v>1991</c:v>
                </c:pt>
                <c:pt idx="1">
                  <c:v>1996</c:v>
                </c:pt>
                <c:pt idx="2">
                  <c:v>2001</c:v>
                </c:pt>
                <c:pt idx="3">
                  <c:v>2006</c:v>
                </c:pt>
                <c:pt idx="4">
                  <c:v>2011</c:v>
                </c:pt>
                <c:pt idx="5">
                  <c:v>2016</c:v>
                </c:pt>
                <c:pt idx="6">
                  <c:v>2021</c:v>
                </c:pt>
              </c:numCache>
            </c:numRef>
          </c:cat>
          <c:val>
            <c:numRef>
              <c:f>'[1]# New Residential Dwellings'!$E$6:$K$6</c:f>
              <c:numCache>
                <c:formatCode>General</c:formatCode>
                <c:ptCount val="7"/>
                <c:pt idx="0">
                  <c:v>1893000</c:v>
                </c:pt>
                <c:pt idx="1">
                  <c:v>3159000</c:v>
                </c:pt>
                <c:pt idx="2">
                  <c:v>3123000</c:v>
                </c:pt>
                <c:pt idx="3">
                  <c:v>4307000</c:v>
                </c:pt>
                <c:pt idx="4">
                  <c:v>2350000</c:v>
                </c:pt>
                <c:pt idx="5">
                  <c:v>4447000</c:v>
                </c:pt>
                <c:pt idx="6">
                  <c:v>4982000</c:v>
                </c:pt>
              </c:numCache>
            </c:numRef>
          </c:val>
          <c:extLst>
            <c:ext xmlns:c16="http://schemas.microsoft.com/office/drawing/2014/chart" uri="{C3380CC4-5D6E-409C-BE32-E72D297353CC}">
              <c16:uniqueId val="{00000000-1BEE-424B-831F-0290A1EEB6B2}"/>
            </c:ext>
          </c:extLst>
        </c:ser>
        <c:ser>
          <c:idx val="1"/>
          <c:order val="1"/>
          <c:tx>
            <c:v>MDH</c:v>
          </c:tx>
          <c:spPr>
            <a:solidFill>
              <a:srgbClr val="B26476"/>
            </a:solidFill>
            <a:ln>
              <a:noFill/>
            </a:ln>
            <a:effectLst/>
          </c:spPr>
          <c:cat>
            <c:numRef>
              <c:f>'[1]# New Residential Dwellings'!$E$3:$K$3</c:f>
              <c:numCache>
                <c:formatCode>General</c:formatCode>
                <c:ptCount val="7"/>
                <c:pt idx="0">
                  <c:v>1991</c:v>
                </c:pt>
                <c:pt idx="1">
                  <c:v>1996</c:v>
                </c:pt>
                <c:pt idx="2">
                  <c:v>2001</c:v>
                </c:pt>
                <c:pt idx="3">
                  <c:v>2006</c:v>
                </c:pt>
                <c:pt idx="4">
                  <c:v>2011</c:v>
                </c:pt>
                <c:pt idx="5">
                  <c:v>2016</c:v>
                </c:pt>
                <c:pt idx="6">
                  <c:v>2021</c:v>
                </c:pt>
              </c:numCache>
            </c:numRef>
          </c:cat>
          <c:val>
            <c:numRef>
              <c:f>'[1]# New Residential Dwellings'!$E$9:$K$9</c:f>
              <c:numCache>
                <c:formatCode>General</c:formatCode>
                <c:ptCount val="7"/>
                <c:pt idx="0">
                  <c:v>541000</c:v>
                </c:pt>
                <c:pt idx="1">
                  <c:v>761000</c:v>
                </c:pt>
                <c:pt idx="2">
                  <c:v>540000</c:v>
                </c:pt>
                <c:pt idx="3">
                  <c:v>660000</c:v>
                </c:pt>
                <c:pt idx="4">
                  <c:v>267000</c:v>
                </c:pt>
                <c:pt idx="5">
                  <c:v>1024000</c:v>
                </c:pt>
                <c:pt idx="6">
                  <c:v>2540000</c:v>
                </c:pt>
              </c:numCache>
            </c:numRef>
          </c:val>
          <c:extLst>
            <c:ext xmlns:c16="http://schemas.microsoft.com/office/drawing/2014/chart" uri="{C3380CC4-5D6E-409C-BE32-E72D297353CC}">
              <c16:uniqueId val="{00000001-1BEE-424B-831F-0290A1EEB6B2}"/>
            </c:ext>
          </c:extLst>
        </c:ser>
        <c:dLbls>
          <c:showLegendKey val="0"/>
          <c:showVal val="0"/>
          <c:showCatName val="0"/>
          <c:showSerName val="0"/>
          <c:showPercent val="0"/>
          <c:showBubbleSize val="0"/>
        </c:dLbls>
        <c:axId val="1899629776"/>
        <c:axId val="1899630192"/>
      </c:areaChart>
      <c:lineChart>
        <c:grouping val="standard"/>
        <c:varyColors val="0"/>
        <c:ser>
          <c:idx val="2"/>
          <c:order val="2"/>
          <c:tx>
            <c:v>LDH Avg</c:v>
          </c:tx>
          <c:spPr>
            <a:ln w="28575" cap="rnd">
              <a:solidFill>
                <a:schemeClr val="accent1">
                  <a:lumMod val="60000"/>
                  <a:lumOff val="40000"/>
                </a:schemeClr>
              </a:solidFill>
              <a:prstDash val="dash"/>
              <a:round/>
            </a:ln>
            <a:effectLst/>
          </c:spPr>
          <c:marker>
            <c:symbol val="none"/>
          </c:marker>
          <c:cat>
            <c:numRef>
              <c:f>'[1]# New Residential Dwellings'!$E$3:$K$3</c:f>
              <c:numCache>
                <c:formatCode>General</c:formatCode>
                <c:ptCount val="7"/>
                <c:pt idx="0">
                  <c:v>1991</c:v>
                </c:pt>
                <c:pt idx="1">
                  <c:v>1996</c:v>
                </c:pt>
                <c:pt idx="2">
                  <c:v>2001</c:v>
                </c:pt>
                <c:pt idx="3">
                  <c:v>2006</c:v>
                </c:pt>
                <c:pt idx="4">
                  <c:v>2011</c:v>
                </c:pt>
                <c:pt idx="5">
                  <c:v>2016</c:v>
                </c:pt>
                <c:pt idx="6">
                  <c:v>2021</c:v>
                </c:pt>
              </c:numCache>
            </c:numRef>
          </c:cat>
          <c:val>
            <c:numRef>
              <c:f>'[1]# New Residential Dwellings'!$E$5:$K$5</c:f>
              <c:numCache>
                <c:formatCode>General</c:formatCode>
                <c:ptCount val="7"/>
                <c:pt idx="0">
                  <c:v>153</c:v>
                </c:pt>
                <c:pt idx="1">
                  <c:v>183</c:v>
                </c:pt>
                <c:pt idx="2">
                  <c:v>196</c:v>
                </c:pt>
                <c:pt idx="3">
                  <c:v>214</c:v>
                </c:pt>
                <c:pt idx="4">
                  <c:v>209</c:v>
                </c:pt>
                <c:pt idx="5">
                  <c:v>209</c:v>
                </c:pt>
                <c:pt idx="6">
                  <c:v>195</c:v>
                </c:pt>
              </c:numCache>
            </c:numRef>
          </c:val>
          <c:smooth val="0"/>
          <c:extLst>
            <c:ext xmlns:c16="http://schemas.microsoft.com/office/drawing/2014/chart" uri="{C3380CC4-5D6E-409C-BE32-E72D297353CC}">
              <c16:uniqueId val="{00000002-1BEE-424B-831F-0290A1EEB6B2}"/>
            </c:ext>
          </c:extLst>
        </c:ser>
        <c:ser>
          <c:idx val="3"/>
          <c:order val="3"/>
          <c:tx>
            <c:v>MDH Avg</c:v>
          </c:tx>
          <c:spPr>
            <a:ln w="28575" cap="rnd">
              <a:solidFill>
                <a:schemeClr val="accent2">
                  <a:lumMod val="60000"/>
                  <a:lumOff val="40000"/>
                </a:schemeClr>
              </a:solidFill>
              <a:prstDash val="dash"/>
              <a:round/>
            </a:ln>
            <a:effectLst/>
          </c:spPr>
          <c:marker>
            <c:symbol val="none"/>
          </c:marker>
          <c:cat>
            <c:numRef>
              <c:f>'[1]# New Residential Dwellings'!$E$3:$K$3</c:f>
              <c:numCache>
                <c:formatCode>General</c:formatCode>
                <c:ptCount val="7"/>
                <c:pt idx="0">
                  <c:v>1991</c:v>
                </c:pt>
                <c:pt idx="1">
                  <c:v>1996</c:v>
                </c:pt>
                <c:pt idx="2">
                  <c:v>2001</c:v>
                </c:pt>
                <c:pt idx="3">
                  <c:v>2006</c:v>
                </c:pt>
                <c:pt idx="4">
                  <c:v>2011</c:v>
                </c:pt>
                <c:pt idx="5">
                  <c:v>2016</c:v>
                </c:pt>
                <c:pt idx="6">
                  <c:v>2021</c:v>
                </c:pt>
              </c:numCache>
            </c:numRef>
          </c:cat>
          <c:val>
            <c:numRef>
              <c:f>'[1]# New Residential Dwellings'!$E$8:$K$8</c:f>
              <c:numCache>
                <c:formatCode>General</c:formatCode>
                <c:ptCount val="7"/>
                <c:pt idx="0">
                  <c:v>109</c:v>
                </c:pt>
                <c:pt idx="1">
                  <c:v>134</c:v>
                </c:pt>
                <c:pt idx="2">
                  <c:v>114</c:v>
                </c:pt>
                <c:pt idx="3">
                  <c:v>113</c:v>
                </c:pt>
                <c:pt idx="4">
                  <c:v>101</c:v>
                </c:pt>
                <c:pt idx="5">
                  <c:v>117</c:v>
                </c:pt>
                <c:pt idx="6">
                  <c:v>109</c:v>
                </c:pt>
              </c:numCache>
            </c:numRef>
          </c:val>
          <c:smooth val="0"/>
          <c:extLst>
            <c:ext xmlns:c16="http://schemas.microsoft.com/office/drawing/2014/chart" uri="{C3380CC4-5D6E-409C-BE32-E72D297353CC}">
              <c16:uniqueId val="{00000003-1BEE-424B-831F-0290A1EEB6B2}"/>
            </c:ext>
          </c:extLst>
        </c:ser>
        <c:dLbls>
          <c:showLegendKey val="0"/>
          <c:showVal val="0"/>
          <c:showCatName val="0"/>
          <c:showSerName val="0"/>
          <c:showPercent val="0"/>
          <c:showBubbleSize val="0"/>
        </c:dLbls>
        <c:marker val="1"/>
        <c:smooth val="0"/>
        <c:axId val="1888316912"/>
        <c:axId val="1888315248"/>
      </c:lineChart>
      <c:dateAx>
        <c:axId val="1899629776"/>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NZ"/>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99630192"/>
        <c:crosses val="autoZero"/>
        <c:auto val="0"/>
        <c:lblOffset val="100"/>
        <c:baseTimeUnit val="days"/>
        <c:majorUnit val="5"/>
        <c:majorTimeUnit val="days"/>
      </c:dateAx>
      <c:valAx>
        <c:axId val="189963019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NZ"/>
                  <a:t>Total Floor Area (m²)</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99629776"/>
        <c:crosses val="autoZero"/>
        <c:crossBetween val="between"/>
      </c:valAx>
      <c:valAx>
        <c:axId val="1888315248"/>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NZ"/>
                  <a:t>Average Floor Area (m²)</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88316912"/>
        <c:crosses val="max"/>
        <c:crossBetween val="between"/>
      </c:valAx>
      <c:catAx>
        <c:axId val="1888316912"/>
        <c:scaling>
          <c:orientation val="minMax"/>
        </c:scaling>
        <c:delete val="1"/>
        <c:axPos val="b"/>
        <c:numFmt formatCode="General" sourceLinked="1"/>
        <c:majorTickMark val="out"/>
        <c:minorTickMark val="none"/>
        <c:tickLblPos val="nextTo"/>
        <c:crossAx val="1888315248"/>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areaChart>
        <c:grouping val="stacked"/>
        <c:varyColors val="0"/>
        <c:ser>
          <c:idx val="1"/>
          <c:order val="0"/>
          <c:tx>
            <c:v>Tiles</c:v>
          </c:tx>
          <c:spPr>
            <a:solidFill>
              <a:srgbClr val="DAE3F3"/>
            </a:solidFill>
            <a:ln>
              <a:noFill/>
            </a:ln>
            <a:effectLst/>
          </c:spPr>
          <c:cat>
            <c:numRef>
              <c:f>Construction!$E$123:$K$123</c:f>
              <c:numCache>
                <c:formatCode>General</c:formatCode>
                <c:ptCount val="7"/>
                <c:pt idx="0">
                  <c:v>1991</c:v>
                </c:pt>
                <c:pt idx="1">
                  <c:v>1996</c:v>
                </c:pt>
                <c:pt idx="2">
                  <c:v>2001</c:v>
                </c:pt>
                <c:pt idx="3">
                  <c:v>2006</c:v>
                </c:pt>
                <c:pt idx="4">
                  <c:v>2011</c:v>
                </c:pt>
                <c:pt idx="5">
                  <c:v>2016</c:v>
                </c:pt>
                <c:pt idx="6">
                  <c:v>2021</c:v>
                </c:pt>
              </c:numCache>
            </c:numRef>
          </c:cat>
          <c:val>
            <c:numRef>
              <c:f>Construction!$E$125:$K$125</c:f>
              <c:numCache>
                <c:formatCode>#,##0</c:formatCode>
                <c:ptCount val="7"/>
                <c:pt idx="0">
                  <c:v>91596.346807808703</c:v>
                </c:pt>
                <c:pt idx="1">
                  <c:v>147493.16382637981</c:v>
                </c:pt>
                <c:pt idx="2">
                  <c:v>137857.29983870129</c:v>
                </c:pt>
                <c:pt idx="3">
                  <c:v>148128.58810369618</c:v>
                </c:pt>
                <c:pt idx="4">
                  <c:v>78058.791897886782</c:v>
                </c:pt>
                <c:pt idx="5">
                  <c:v>124293.89528899199</c:v>
                </c:pt>
                <c:pt idx="6">
                  <c:v>90814.518395815481</c:v>
                </c:pt>
              </c:numCache>
            </c:numRef>
          </c:val>
          <c:extLst>
            <c:ext xmlns:c16="http://schemas.microsoft.com/office/drawing/2014/chart" uri="{C3380CC4-5D6E-409C-BE32-E72D297353CC}">
              <c16:uniqueId val="{00000001-2679-4AC3-AAB5-17DC62132C37}"/>
            </c:ext>
          </c:extLst>
        </c:ser>
        <c:ser>
          <c:idx val="2"/>
          <c:order val="1"/>
          <c:tx>
            <c:v>Bricks</c:v>
          </c:tx>
          <c:spPr>
            <a:solidFill>
              <a:srgbClr val="90AAD8"/>
            </a:solidFill>
            <a:ln>
              <a:noFill/>
            </a:ln>
            <a:effectLst/>
          </c:spPr>
          <c:cat>
            <c:numRef>
              <c:f>Construction!$E$123:$K$123</c:f>
              <c:numCache>
                <c:formatCode>General</c:formatCode>
                <c:ptCount val="7"/>
                <c:pt idx="0">
                  <c:v>1991</c:v>
                </c:pt>
                <c:pt idx="1">
                  <c:v>1996</c:v>
                </c:pt>
                <c:pt idx="2">
                  <c:v>2001</c:v>
                </c:pt>
                <c:pt idx="3">
                  <c:v>2006</c:v>
                </c:pt>
                <c:pt idx="4">
                  <c:v>2011</c:v>
                </c:pt>
                <c:pt idx="5">
                  <c:v>2016</c:v>
                </c:pt>
                <c:pt idx="6">
                  <c:v>2021</c:v>
                </c:pt>
              </c:numCache>
            </c:numRef>
          </c:cat>
          <c:val>
            <c:numRef>
              <c:f>Construction!$E$126:$K$126</c:f>
              <c:numCache>
                <c:formatCode>#,##0</c:formatCode>
                <c:ptCount val="7"/>
                <c:pt idx="0">
                  <c:v>82416.230422392982</c:v>
                </c:pt>
                <c:pt idx="1">
                  <c:v>132710.86674612202</c:v>
                </c:pt>
                <c:pt idx="2">
                  <c:v>124040.74381650699</c:v>
                </c:pt>
                <c:pt idx="3">
                  <c:v>199481.11040715902</c:v>
                </c:pt>
                <c:pt idx="4">
                  <c:v>90691.632513944016</c:v>
                </c:pt>
                <c:pt idx="5">
                  <c:v>150768.24265615002</c:v>
                </c:pt>
                <c:pt idx="6">
                  <c:v>148111.36329587499</c:v>
                </c:pt>
              </c:numCache>
            </c:numRef>
          </c:val>
          <c:extLst>
            <c:ext xmlns:c16="http://schemas.microsoft.com/office/drawing/2014/chart" uri="{C3380CC4-5D6E-409C-BE32-E72D297353CC}">
              <c16:uniqueId val="{00000002-2679-4AC3-AAB5-17DC62132C37}"/>
            </c:ext>
          </c:extLst>
        </c:ser>
        <c:ser>
          <c:idx val="0"/>
          <c:order val="2"/>
          <c:tx>
            <c:v>Concrete</c:v>
          </c:tx>
          <c:spPr>
            <a:solidFill>
              <a:srgbClr val="9BB7D7"/>
            </a:solidFill>
            <a:ln>
              <a:noFill/>
            </a:ln>
            <a:effectLst/>
          </c:spPr>
          <c:cat>
            <c:numRef>
              <c:f>Construction!$E$123:$K$123</c:f>
              <c:numCache>
                <c:formatCode>General</c:formatCode>
                <c:ptCount val="7"/>
                <c:pt idx="0">
                  <c:v>1991</c:v>
                </c:pt>
                <c:pt idx="1">
                  <c:v>1996</c:v>
                </c:pt>
                <c:pt idx="2">
                  <c:v>2001</c:v>
                </c:pt>
                <c:pt idx="3">
                  <c:v>2006</c:v>
                </c:pt>
                <c:pt idx="4">
                  <c:v>2011</c:v>
                </c:pt>
                <c:pt idx="5">
                  <c:v>2016</c:v>
                </c:pt>
                <c:pt idx="6">
                  <c:v>2021</c:v>
                </c:pt>
              </c:numCache>
            </c:numRef>
          </c:cat>
          <c:val>
            <c:numRef>
              <c:f>Construction!$E$127:$K$127</c:f>
              <c:numCache>
                <c:formatCode>#,##0</c:formatCode>
                <c:ptCount val="7"/>
                <c:pt idx="0">
                  <c:v>484118.67532799998</c:v>
                </c:pt>
                <c:pt idx="1">
                  <c:v>775619.29563000007</c:v>
                </c:pt>
                <c:pt idx="2">
                  <c:v>724422.72652500006</c:v>
                </c:pt>
                <c:pt idx="3">
                  <c:v>1000953.7273680001</c:v>
                </c:pt>
                <c:pt idx="4">
                  <c:v>522200.76648000017</c:v>
                </c:pt>
                <c:pt idx="5">
                  <c:v>1059323.1040440002</c:v>
                </c:pt>
                <c:pt idx="6">
                  <c:v>1284035.2212225001</c:v>
                </c:pt>
              </c:numCache>
            </c:numRef>
          </c:val>
          <c:extLst>
            <c:ext xmlns:c16="http://schemas.microsoft.com/office/drawing/2014/chart" uri="{C3380CC4-5D6E-409C-BE32-E72D297353CC}">
              <c16:uniqueId val="{00000005-2679-4AC3-AAB5-17DC62132C37}"/>
            </c:ext>
          </c:extLst>
        </c:ser>
        <c:dLbls>
          <c:showLegendKey val="0"/>
          <c:showVal val="0"/>
          <c:showCatName val="0"/>
          <c:showSerName val="0"/>
          <c:showPercent val="0"/>
          <c:showBubbleSize val="0"/>
        </c:dLbls>
        <c:axId val="1607271168"/>
        <c:axId val="1607253280"/>
      </c:areaChart>
      <c:catAx>
        <c:axId val="1607271168"/>
        <c:scaling>
          <c:orientation val="minMax"/>
        </c:scaling>
        <c:delete val="0"/>
        <c:axPos val="b"/>
        <c:title>
          <c:tx>
            <c:rich>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r>
                  <a:rPr lang="en-NZ"/>
                  <a:t>Year</a:t>
                </a:r>
              </a:p>
            </c:rich>
          </c:tx>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1607253280"/>
        <c:crosses val="autoZero"/>
        <c:auto val="1"/>
        <c:lblAlgn val="ctr"/>
        <c:lblOffset val="100"/>
        <c:noMultiLvlLbl val="0"/>
      </c:catAx>
      <c:valAx>
        <c:axId val="16072532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r>
                  <a:rPr lang="en-NZ"/>
                  <a:t>Mass (T)</a:t>
                </a:r>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1607271168"/>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800"/>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areaChart>
        <c:grouping val="stacked"/>
        <c:varyColors val="0"/>
        <c:ser>
          <c:idx val="1"/>
          <c:order val="0"/>
          <c:tx>
            <c:v>Timber</c:v>
          </c:tx>
          <c:spPr>
            <a:solidFill>
              <a:srgbClr val="B26476"/>
            </a:solidFill>
            <a:ln>
              <a:noFill/>
            </a:ln>
            <a:effectLst/>
          </c:spPr>
          <c:cat>
            <c:numRef>
              <c:f>Construction!$E$123:$K$123</c:f>
              <c:numCache>
                <c:formatCode>General</c:formatCode>
                <c:ptCount val="7"/>
                <c:pt idx="0">
                  <c:v>1991</c:v>
                </c:pt>
                <c:pt idx="1">
                  <c:v>1996</c:v>
                </c:pt>
                <c:pt idx="2">
                  <c:v>2001</c:v>
                </c:pt>
                <c:pt idx="3">
                  <c:v>2006</c:v>
                </c:pt>
                <c:pt idx="4">
                  <c:v>2011</c:v>
                </c:pt>
                <c:pt idx="5">
                  <c:v>2016</c:v>
                </c:pt>
                <c:pt idx="6">
                  <c:v>2021</c:v>
                </c:pt>
              </c:numCache>
            </c:numRef>
          </c:cat>
          <c:val>
            <c:numRef>
              <c:f>Construction!$E$128:$K$128</c:f>
              <c:numCache>
                <c:formatCode>#,##0</c:formatCode>
                <c:ptCount val="7"/>
                <c:pt idx="0">
                  <c:v>67671.037052112195</c:v>
                </c:pt>
                <c:pt idx="1">
                  <c:v>108909.80404301945</c:v>
                </c:pt>
                <c:pt idx="2">
                  <c:v>101878.83055178827</c:v>
                </c:pt>
                <c:pt idx="3">
                  <c:v>128657.19776378253</c:v>
                </c:pt>
                <c:pt idx="4">
                  <c:v>65196.921956341685</c:v>
                </c:pt>
                <c:pt idx="5">
                  <c:v>150801.05292821952</c:v>
                </c:pt>
                <c:pt idx="6">
                  <c:v>208277.71960673836</c:v>
                </c:pt>
              </c:numCache>
            </c:numRef>
          </c:val>
          <c:extLst>
            <c:ext xmlns:c16="http://schemas.microsoft.com/office/drawing/2014/chart" uri="{C3380CC4-5D6E-409C-BE32-E72D297353CC}">
              <c16:uniqueId val="{00000001-568E-4C21-9A0F-05A69BA14F8D}"/>
            </c:ext>
          </c:extLst>
        </c:ser>
        <c:dLbls>
          <c:showLegendKey val="0"/>
          <c:showVal val="0"/>
          <c:showCatName val="0"/>
          <c:showSerName val="0"/>
          <c:showPercent val="0"/>
          <c:showBubbleSize val="0"/>
        </c:dLbls>
        <c:axId val="1607254112"/>
        <c:axId val="1607260768"/>
      </c:areaChart>
      <c:catAx>
        <c:axId val="1607254112"/>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NZ"/>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07260768"/>
        <c:crosses val="autoZero"/>
        <c:auto val="1"/>
        <c:lblAlgn val="ctr"/>
        <c:lblOffset val="100"/>
        <c:noMultiLvlLbl val="0"/>
      </c:catAx>
      <c:valAx>
        <c:axId val="160726076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NZ"/>
                  <a:t>Mass</a:t>
                </a:r>
                <a:r>
                  <a:rPr lang="en-NZ" baseline="0"/>
                  <a:t> (T)</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07254112"/>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areaChart>
        <c:grouping val="stacked"/>
        <c:varyColors val="0"/>
        <c:ser>
          <c:idx val="0"/>
          <c:order val="0"/>
          <c:tx>
            <c:v>Steel</c:v>
          </c:tx>
          <c:spPr>
            <a:solidFill>
              <a:srgbClr val="B0ACAC"/>
            </a:solidFill>
            <a:ln>
              <a:noFill/>
            </a:ln>
            <a:effectLst/>
          </c:spPr>
          <c:cat>
            <c:numRef>
              <c:f>Construction!$E$123:$K$123</c:f>
              <c:numCache>
                <c:formatCode>General</c:formatCode>
                <c:ptCount val="7"/>
                <c:pt idx="0">
                  <c:v>1991</c:v>
                </c:pt>
                <c:pt idx="1">
                  <c:v>1996</c:v>
                </c:pt>
                <c:pt idx="2">
                  <c:v>2001</c:v>
                </c:pt>
                <c:pt idx="3">
                  <c:v>2006</c:v>
                </c:pt>
                <c:pt idx="4">
                  <c:v>2011</c:v>
                </c:pt>
                <c:pt idx="5">
                  <c:v>2016</c:v>
                </c:pt>
                <c:pt idx="6">
                  <c:v>2021</c:v>
                </c:pt>
              </c:numCache>
            </c:numRef>
          </c:cat>
          <c:val>
            <c:numRef>
              <c:f>Construction!$E$130:$K$130</c:f>
              <c:numCache>
                <c:formatCode>#,##0</c:formatCode>
                <c:ptCount val="7"/>
                <c:pt idx="0">
                  <c:v>11227.271347002648</c:v>
                </c:pt>
                <c:pt idx="1">
                  <c:v>18078.731628688816</c:v>
                </c:pt>
                <c:pt idx="2">
                  <c:v>16897.631471064899</c:v>
                </c:pt>
                <c:pt idx="3">
                  <c:v>29557.753724201837</c:v>
                </c:pt>
                <c:pt idx="4">
                  <c:v>19022.218491923948</c:v>
                </c:pt>
                <c:pt idx="5">
                  <c:v>34870.803151866894</c:v>
                </c:pt>
                <c:pt idx="6">
                  <c:v>60808.1567264759</c:v>
                </c:pt>
              </c:numCache>
            </c:numRef>
          </c:val>
          <c:extLst>
            <c:ext xmlns:c16="http://schemas.microsoft.com/office/drawing/2014/chart" uri="{C3380CC4-5D6E-409C-BE32-E72D297353CC}">
              <c16:uniqueId val="{00000000-8641-4FA3-A651-B903C9300294}"/>
            </c:ext>
          </c:extLst>
        </c:ser>
        <c:ser>
          <c:idx val="1"/>
          <c:order val="1"/>
          <c:tx>
            <c:v>Aluminium</c:v>
          </c:tx>
          <c:spPr>
            <a:solidFill>
              <a:srgbClr val="D1CFCE"/>
            </a:solidFill>
            <a:ln>
              <a:noFill/>
            </a:ln>
            <a:effectLst/>
          </c:spPr>
          <c:cat>
            <c:numRef>
              <c:f>Construction!$E$123:$K$123</c:f>
              <c:numCache>
                <c:formatCode>General</c:formatCode>
                <c:ptCount val="7"/>
                <c:pt idx="0">
                  <c:v>1991</c:v>
                </c:pt>
                <c:pt idx="1">
                  <c:v>1996</c:v>
                </c:pt>
                <c:pt idx="2">
                  <c:v>2001</c:v>
                </c:pt>
                <c:pt idx="3">
                  <c:v>2006</c:v>
                </c:pt>
                <c:pt idx="4">
                  <c:v>2011</c:v>
                </c:pt>
                <c:pt idx="5">
                  <c:v>2016</c:v>
                </c:pt>
                <c:pt idx="6">
                  <c:v>2021</c:v>
                </c:pt>
              </c:numCache>
            </c:numRef>
          </c:cat>
          <c:val>
            <c:numRef>
              <c:f>Construction!$E$131:$K$131</c:f>
              <c:numCache>
                <c:formatCode>#,##0</c:formatCode>
                <c:ptCount val="7"/>
                <c:pt idx="0">
                  <c:v>4626.6075168239995</c:v>
                </c:pt>
                <c:pt idx="1">
                  <c:v>7450.0021476960019</c:v>
                </c:pt>
                <c:pt idx="2">
                  <c:v>6963.2866583760006</c:v>
                </c:pt>
                <c:pt idx="3">
                  <c:v>9422.3827248240013</c:v>
                </c:pt>
                <c:pt idx="4">
                  <c:v>4899.6945688799997</c:v>
                </c:pt>
                <c:pt idx="5">
                  <c:v>10202.102297519999</c:v>
                </c:pt>
                <c:pt idx="6">
                  <c:v>13993.8681</c:v>
                </c:pt>
              </c:numCache>
            </c:numRef>
          </c:val>
          <c:extLst>
            <c:ext xmlns:c16="http://schemas.microsoft.com/office/drawing/2014/chart" uri="{C3380CC4-5D6E-409C-BE32-E72D297353CC}">
              <c16:uniqueId val="{00000001-8641-4FA3-A651-B903C9300294}"/>
            </c:ext>
          </c:extLst>
        </c:ser>
        <c:dLbls>
          <c:showLegendKey val="0"/>
          <c:showVal val="0"/>
          <c:showCatName val="0"/>
          <c:showSerName val="0"/>
          <c:showPercent val="0"/>
          <c:showBubbleSize val="0"/>
        </c:dLbls>
        <c:axId val="1943561936"/>
        <c:axId val="1943552368"/>
      </c:areaChart>
      <c:catAx>
        <c:axId val="1943561936"/>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NZ"/>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43552368"/>
        <c:crosses val="autoZero"/>
        <c:auto val="1"/>
        <c:lblAlgn val="ctr"/>
        <c:lblOffset val="100"/>
        <c:noMultiLvlLbl val="0"/>
      </c:catAx>
      <c:valAx>
        <c:axId val="194355236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NZ"/>
                  <a:t>Mass</a:t>
                </a:r>
                <a:r>
                  <a:rPr lang="en-NZ" baseline="0"/>
                  <a:t> (T)</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43561936"/>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areaChart>
        <c:grouping val="stacked"/>
        <c:varyColors val="0"/>
        <c:ser>
          <c:idx val="0"/>
          <c:order val="0"/>
          <c:tx>
            <c:v>Polyester</c:v>
          </c:tx>
          <c:spPr>
            <a:solidFill>
              <a:srgbClr val="4F8797">
                <a:alpha val="50196"/>
              </a:srgbClr>
            </a:solidFill>
            <a:ln>
              <a:noFill/>
            </a:ln>
            <a:effectLst/>
          </c:spPr>
          <c:cat>
            <c:numRef>
              <c:f>Construction!$E$123:$K$123</c:f>
              <c:numCache>
                <c:formatCode>General</c:formatCode>
                <c:ptCount val="7"/>
                <c:pt idx="0">
                  <c:v>1991</c:v>
                </c:pt>
                <c:pt idx="1">
                  <c:v>1996</c:v>
                </c:pt>
                <c:pt idx="2">
                  <c:v>2001</c:v>
                </c:pt>
                <c:pt idx="3">
                  <c:v>2006</c:v>
                </c:pt>
                <c:pt idx="4">
                  <c:v>2011</c:v>
                </c:pt>
                <c:pt idx="5">
                  <c:v>2016</c:v>
                </c:pt>
                <c:pt idx="6">
                  <c:v>2021</c:v>
                </c:pt>
              </c:numCache>
            </c:numRef>
          </c:cat>
          <c:val>
            <c:numRef>
              <c:f>Construction!$E$133:$K$133</c:f>
              <c:numCache>
                <c:formatCode>#,##0</c:formatCode>
                <c:ptCount val="7"/>
                <c:pt idx="0">
                  <c:v>1599.9849956577154</c:v>
                </c:pt>
                <c:pt idx="1">
                  <c:v>2576.3783961761105</c:v>
                </c:pt>
                <c:pt idx="2">
                  <c:v>2408.0612270117854</c:v>
                </c:pt>
                <c:pt idx="3">
                  <c:v>1124.1470843638958</c:v>
                </c:pt>
                <c:pt idx="4">
                  <c:v>410.36858043402032</c:v>
                </c:pt>
                <c:pt idx="5">
                  <c:v>1421.0208090529509</c:v>
                </c:pt>
                <c:pt idx="6">
                  <c:v>3149.1332429073736</c:v>
                </c:pt>
              </c:numCache>
            </c:numRef>
          </c:val>
          <c:extLst>
            <c:ext xmlns:c16="http://schemas.microsoft.com/office/drawing/2014/chart" uri="{C3380CC4-5D6E-409C-BE32-E72D297353CC}">
              <c16:uniqueId val="{00000000-43F6-43EA-9204-572847F475BC}"/>
            </c:ext>
          </c:extLst>
        </c:ser>
        <c:ser>
          <c:idx val="1"/>
          <c:order val="1"/>
          <c:tx>
            <c:v>Polystyrene</c:v>
          </c:tx>
          <c:spPr>
            <a:solidFill>
              <a:srgbClr val="4F8797">
                <a:alpha val="69804"/>
              </a:srgbClr>
            </a:solidFill>
            <a:ln>
              <a:noFill/>
            </a:ln>
            <a:effectLst/>
          </c:spPr>
          <c:cat>
            <c:numRef>
              <c:f>Construction!$E$123:$K$123</c:f>
              <c:numCache>
                <c:formatCode>General</c:formatCode>
                <c:ptCount val="7"/>
                <c:pt idx="0">
                  <c:v>1991</c:v>
                </c:pt>
                <c:pt idx="1">
                  <c:v>1996</c:v>
                </c:pt>
                <c:pt idx="2">
                  <c:v>2001</c:v>
                </c:pt>
                <c:pt idx="3">
                  <c:v>2006</c:v>
                </c:pt>
                <c:pt idx="4">
                  <c:v>2011</c:v>
                </c:pt>
                <c:pt idx="5">
                  <c:v>2016</c:v>
                </c:pt>
                <c:pt idx="6">
                  <c:v>2021</c:v>
                </c:pt>
              </c:numCache>
            </c:numRef>
          </c:cat>
          <c:val>
            <c:numRef>
              <c:f>Construction!$E$134:$K$134</c:f>
              <c:numCache>
                <c:formatCode>#,##0</c:formatCode>
                <c:ptCount val="7"/>
                <c:pt idx="0">
                  <c:v>1339.6107191999997</c:v>
                </c:pt>
                <c:pt idx="1">
                  <c:v>2209.4376384000002</c:v>
                </c:pt>
                <c:pt idx="2">
                  <c:v>2145.9187190399998</c:v>
                </c:pt>
                <c:pt idx="3">
                  <c:v>2754.5919537599998</c:v>
                </c:pt>
                <c:pt idx="4">
                  <c:v>4722.6325012799989</c:v>
                </c:pt>
                <c:pt idx="5">
                  <c:v>10334.888099711998</c:v>
                </c:pt>
                <c:pt idx="6">
                  <c:v>18992.973495199993</c:v>
                </c:pt>
              </c:numCache>
            </c:numRef>
          </c:val>
          <c:extLst>
            <c:ext xmlns:c16="http://schemas.microsoft.com/office/drawing/2014/chart" uri="{C3380CC4-5D6E-409C-BE32-E72D297353CC}">
              <c16:uniqueId val="{00000001-43F6-43EA-9204-572847F475BC}"/>
            </c:ext>
          </c:extLst>
        </c:ser>
        <c:ser>
          <c:idx val="2"/>
          <c:order val="2"/>
          <c:tx>
            <c:v>Sheet Plastic</c:v>
          </c:tx>
          <c:spPr>
            <a:solidFill>
              <a:srgbClr val="4F8797"/>
            </a:solidFill>
            <a:ln>
              <a:noFill/>
            </a:ln>
            <a:effectLst/>
          </c:spPr>
          <c:cat>
            <c:numRef>
              <c:f>Construction!$E$123:$K$123</c:f>
              <c:numCache>
                <c:formatCode>General</c:formatCode>
                <c:ptCount val="7"/>
                <c:pt idx="0">
                  <c:v>1991</c:v>
                </c:pt>
                <c:pt idx="1">
                  <c:v>1996</c:v>
                </c:pt>
                <c:pt idx="2">
                  <c:v>2001</c:v>
                </c:pt>
                <c:pt idx="3">
                  <c:v>2006</c:v>
                </c:pt>
                <c:pt idx="4">
                  <c:v>2011</c:v>
                </c:pt>
                <c:pt idx="5">
                  <c:v>2016</c:v>
                </c:pt>
                <c:pt idx="6">
                  <c:v>2021</c:v>
                </c:pt>
              </c:numCache>
            </c:numRef>
          </c:cat>
          <c:val>
            <c:numRef>
              <c:f>Construction!$E$135:$K$135</c:f>
              <c:numCache>
                <c:formatCode>#,##0</c:formatCode>
                <c:ptCount val="7"/>
                <c:pt idx="0">
                  <c:v>989.80614903806918</c:v>
                </c:pt>
                <c:pt idx="1">
                  <c:v>1593.8369332867787</c:v>
                </c:pt>
                <c:pt idx="2">
                  <c:v>1489.7101011729292</c:v>
                </c:pt>
                <c:pt idx="3">
                  <c:v>3751.3084000286694</c:v>
                </c:pt>
                <c:pt idx="4">
                  <c:v>760.31290809629991</c:v>
                </c:pt>
                <c:pt idx="5">
                  <c:v>3813.5626963667987</c:v>
                </c:pt>
                <c:pt idx="6">
                  <c:v>5244.9026667101989</c:v>
                </c:pt>
              </c:numCache>
            </c:numRef>
          </c:val>
          <c:extLst>
            <c:ext xmlns:c16="http://schemas.microsoft.com/office/drawing/2014/chart" uri="{C3380CC4-5D6E-409C-BE32-E72D297353CC}">
              <c16:uniqueId val="{00000002-43F6-43EA-9204-572847F475BC}"/>
            </c:ext>
          </c:extLst>
        </c:ser>
        <c:dLbls>
          <c:showLegendKey val="0"/>
          <c:showVal val="0"/>
          <c:showCatName val="0"/>
          <c:showSerName val="0"/>
          <c:showPercent val="0"/>
          <c:showBubbleSize val="0"/>
        </c:dLbls>
        <c:axId val="1978610656"/>
        <c:axId val="1978608160"/>
      </c:areaChart>
      <c:catAx>
        <c:axId val="1978610656"/>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NZ"/>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78608160"/>
        <c:crosses val="autoZero"/>
        <c:auto val="1"/>
        <c:lblAlgn val="ctr"/>
        <c:lblOffset val="100"/>
        <c:noMultiLvlLbl val="0"/>
      </c:catAx>
      <c:valAx>
        <c:axId val="19786081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NZ"/>
                  <a:t>Mass</a:t>
                </a:r>
                <a:r>
                  <a:rPr lang="en-NZ" baseline="0"/>
                  <a:t> (T)</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78610656"/>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areaChart>
        <c:grouping val="stacked"/>
        <c:varyColors val="0"/>
        <c:ser>
          <c:idx val="0"/>
          <c:order val="0"/>
          <c:tx>
            <c:v>Glass</c:v>
          </c:tx>
          <c:spPr>
            <a:solidFill>
              <a:srgbClr val="536027">
                <a:alpha val="74902"/>
              </a:srgbClr>
            </a:solidFill>
            <a:ln>
              <a:noFill/>
            </a:ln>
            <a:effectLst/>
          </c:spPr>
          <c:cat>
            <c:numRef>
              <c:f>Construction!$E$123:$K$123</c:f>
              <c:numCache>
                <c:formatCode>General</c:formatCode>
                <c:ptCount val="7"/>
                <c:pt idx="0">
                  <c:v>1991</c:v>
                </c:pt>
                <c:pt idx="1">
                  <c:v>1996</c:v>
                </c:pt>
                <c:pt idx="2">
                  <c:v>2001</c:v>
                </c:pt>
                <c:pt idx="3">
                  <c:v>2006</c:v>
                </c:pt>
                <c:pt idx="4">
                  <c:v>2011</c:v>
                </c:pt>
                <c:pt idx="5">
                  <c:v>2016</c:v>
                </c:pt>
                <c:pt idx="6">
                  <c:v>2021</c:v>
                </c:pt>
              </c:numCache>
            </c:numRef>
          </c:cat>
          <c:val>
            <c:numRef>
              <c:f>Construction!$E$136:$K$136</c:f>
              <c:numCache>
                <c:formatCode>#,##0</c:formatCode>
                <c:ptCount val="7"/>
                <c:pt idx="0">
                  <c:v>7119.4529249999996</c:v>
                </c:pt>
                <c:pt idx="1">
                  <c:v>11464.11045</c:v>
                </c:pt>
                <c:pt idx="2">
                  <c:v>10715.149574999999</c:v>
                </c:pt>
                <c:pt idx="3">
                  <c:v>14528.940074999999</c:v>
                </c:pt>
                <c:pt idx="4">
                  <c:v>11778.866999999998</c:v>
                </c:pt>
                <c:pt idx="5">
                  <c:v>24616.755000000001</c:v>
                </c:pt>
                <c:pt idx="6">
                  <c:v>33856.1325</c:v>
                </c:pt>
              </c:numCache>
            </c:numRef>
          </c:val>
          <c:extLst>
            <c:ext xmlns:c16="http://schemas.microsoft.com/office/drawing/2014/chart" uri="{C3380CC4-5D6E-409C-BE32-E72D297353CC}">
              <c16:uniqueId val="{00000000-6137-46B3-9E18-C1DBBD476CCA}"/>
            </c:ext>
          </c:extLst>
        </c:ser>
        <c:dLbls>
          <c:showLegendKey val="0"/>
          <c:showVal val="0"/>
          <c:showCatName val="0"/>
          <c:showSerName val="0"/>
          <c:showPercent val="0"/>
          <c:showBubbleSize val="0"/>
        </c:dLbls>
        <c:axId val="1814753280"/>
        <c:axId val="1814757440"/>
      </c:areaChart>
      <c:catAx>
        <c:axId val="181475328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NZ"/>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14757440"/>
        <c:crosses val="autoZero"/>
        <c:auto val="1"/>
        <c:lblAlgn val="ctr"/>
        <c:lblOffset val="100"/>
        <c:noMultiLvlLbl val="0"/>
      </c:catAx>
      <c:valAx>
        <c:axId val="181475744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NZ"/>
                  <a:t>Mass (T)</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14753280"/>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areaChart>
        <c:grouping val="stacked"/>
        <c:varyColors val="0"/>
        <c:ser>
          <c:idx val="0"/>
          <c:order val="0"/>
          <c:tx>
            <c:v>Plasterboard</c:v>
          </c:tx>
          <c:spPr>
            <a:solidFill>
              <a:srgbClr val="4F8797"/>
            </a:solidFill>
            <a:ln>
              <a:noFill/>
            </a:ln>
            <a:effectLst/>
          </c:spPr>
          <c:cat>
            <c:numRef>
              <c:f>Construction!$E$123:$K$123</c:f>
              <c:numCache>
                <c:formatCode>General</c:formatCode>
                <c:ptCount val="7"/>
                <c:pt idx="0">
                  <c:v>1991</c:v>
                </c:pt>
                <c:pt idx="1">
                  <c:v>1996</c:v>
                </c:pt>
                <c:pt idx="2">
                  <c:v>2001</c:v>
                </c:pt>
                <c:pt idx="3">
                  <c:v>2006</c:v>
                </c:pt>
                <c:pt idx="4">
                  <c:v>2011</c:v>
                </c:pt>
                <c:pt idx="5">
                  <c:v>2016</c:v>
                </c:pt>
                <c:pt idx="6">
                  <c:v>2021</c:v>
                </c:pt>
              </c:numCache>
            </c:numRef>
          </c:cat>
          <c:val>
            <c:numRef>
              <c:f>Construction!$E$137:$K$137</c:f>
              <c:numCache>
                <c:formatCode>#,##0</c:formatCode>
                <c:ptCount val="7"/>
                <c:pt idx="0">
                  <c:v>52651.682850000005</c:v>
                </c:pt>
                <c:pt idx="1">
                  <c:v>85053.779557500005</c:v>
                </c:pt>
                <c:pt idx="2">
                  <c:v>79531.258072500001</c:v>
                </c:pt>
                <c:pt idx="3">
                  <c:v>107947.54444500001</c:v>
                </c:pt>
                <c:pt idx="4">
                  <c:v>56867.951984999992</c:v>
                </c:pt>
                <c:pt idx="5">
                  <c:v>118853.58205500001</c:v>
                </c:pt>
                <c:pt idx="6">
                  <c:v>163312.45661249998</c:v>
                </c:pt>
              </c:numCache>
            </c:numRef>
          </c:val>
          <c:extLst>
            <c:ext xmlns:c16="http://schemas.microsoft.com/office/drawing/2014/chart" uri="{C3380CC4-5D6E-409C-BE32-E72D297353CC}">
              <c16:uniqueId val="{00000000-0D26-4EF2-BEE7-C36ECA64F491}"/>
            </c:ext>
          </c:extLst>
        </c:ser>
        <c:dLbls>
          <c:showLegendKey val="0"/>
          <c:showVal val="0"/>
          <c:showCatName val="0"/>
          <c:showSerName val="0"/>
          <c:showPercent val="0"/>
          <c:showBubbleSize val="0"/>
        </c:dLbls>
        <c:axId val="1607274080"/>
        <c:axId val="1607259104"/>
      </c:areaChart>
      <c:catAx>
        <c:axId val="160727408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NZ"/>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07259104"/>
        <c:crosses val="autoZero"/>
        <c:auto val="1"/>
        <c:lblAlgn val="ctr"/>
        <c:lblOffset val="100"/>
        <c:noMultiLvlLbl val="0"/>
      </c:catAx>
      <c:valAx>
        <c:axId val="160725910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NZ"/>
                  <a:t>Mass</a:t>
                </a:r>
                <a:r>
                  <a:rPr lang="en-NZ" baseline="0"/>
                  <a:t> (T)</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07274080"/>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areaChart>
        <c:grouping val="stacked"/>
        <c:varyColors val="0"/>
        <c:ser>
          <c:idx val="0"/>
          <c:order val="0"/>
          <c:tx>
            <c:strRef>
              <c:f>Construction!$C$138</c:f>
              <c:strCache>
                <c:ptCount val="1"/>
                <c:pt idx="0">
                  <c:v>Fibreglass</c:v>
                </c:pt>
              </c:strCache>
            </c:strRef>
          </c:tx>
          <c:spPr>
            <a:solidFill>
              <a:srgbClr val="9BB7D7"/>
            </a:solidFill>
            <a:ln>
              <a:noFill/>
            </a:ln>
            <a:effectLst/>
          </c:spPr>
          <c:cat>
            <c:numRef>
              <c:f>Construction!$E$123:$K$123</c:f>
              <c:numCache>
                <c:formatCode>General</c:formatCode>
                <c:ptCount val="7"/>
                <c:pt idx="0">
                  <c:v>1991</c:v>
                </c:pt>
                <c:pt idx="1">
                  <c:v>1996</c:v>
                </c:pt>
                <c:pt idx="2">
                  <c:v>2001</c:v>
                </c:pt>
                <c:pt idx="3">
                  <c:v>2006</c:v>
                </c:pt>
                <c:pt idx="4">
                  <c:v>2011</c:v>
                </c:pt>
                <c:pt idx="5">
                  <c:v>2016</c:v>
                </c:pt>
                <c:pt idx="6">
                  <c:v>2021</c:v>
                </c:pt>
              </c:numCache>
            </c:numRef>
          </c:cat>
          <c:val>
            <c:numRef>
              <c:f>Construction!$E$138:$K$138</c:f>
              <c:numCache>
                <c:formatCode>#,##0</c:formatCode>
                <c:ptCount val="7"/>
                <c:pt idx="0">
                  <c:v>4018.4864841797998</c:v>
                </c:pt>
                <c:pt idx="1">
                  <c:v>6470.7742830492007</c:v>
                </c:pt>
                <c:pt idx="2">
                  <c:v>6048.0326503602</c:v>
                </c:pt>
                <c:pt idx="3">
                  <c:v>9400.7785634693973</c:v>
                </c:pt>
                <c:pt idx="4">
                  <c:v>5059.2966462143995</c:v>
                </c:pt>
                <c:pt idx="5">
                  <c:v>10353.186810774001</c:v>
                </c:pt>
                <c:pt idx="6">
                  <c:v>13633.119722834999</c:v>
                </c:pt>
              </c:numCache>
            </c:numRef>
          </c:val>
          <c:extLst>
            <c:ext xmlns:c16="http://schemas.microsoft.com/office/drawing/2014/chart" uri="{C3380CC4-5D6E-409C-BE32-E72D297353CC}">
              <c16:uniqueId val="{00000000-EF72-4087-AFD6-830EABB37733}"/>
            </c:ext>
          </c:extLst>
        </c:ser>
        <c:dLbls>
          <c:showLegendKey val="0"/>
          <c:showVal val="0"/>
          <c:showCatName val="0"/>
          <c:showSerName val="0"/>
          <c:showPercent val="0"/>
          <c:showBubbleSize val="0"/>
        </c:dLbls>
        <c:axId val="1942529728"/>
        <c:axId val="1942530144"/>
      </c:areaChart>
      <c:catAx>
        <c:axId val="1942529728"/>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NZ"/>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42530144"/>
        <c:crosses val="autoZero"/>
        <c:auto val="1"/>
        <c:lblAlgn val="ctr"/>
        <c:lblOffset val="100"/>
        <c:noMultiLvlLbl val="0"/>
      </c:catAx>
      <c:valAx>
        <c:axId val="194253014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NZ"/>
                  <a:t>Mass (T)</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42529728"/>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_rels/drawing3.xml.rels><?xml version="1.0" encoding="UTF-8" standalone="yes"?>
<Relationships xmlns="http://schemas.openxmlformats.org/package/2006/relationships"><Relationship Id="rId3" Type="http://schemas.openxmlformats.org/officeDocument/2006/relationships/chart" Target="../charts/chart14.xml"/><Relationship Id="rId2" Type="http://schemas.openxmlformats.org/officeDocument/2006/relationships/chart" Target="../charts/chart13.xml"/><Relationship Id="rId1" Type="http://schemas.openxmlformats.org/officeDocument/2006/relationships/chart" Target="../charts/chart12.xml"/></Relationships>
</file>

<file path=xl/drawings/drawing1.xml><?xml version="1.0" encoding="utf-8"?>
<xdr:wsDr xmlns:xdr="http://schemas.openxmlformats.org/drawingml/2006/spreadsheetDrawing" xmlns:a="http://schemas.openxmlformats.org/drawingml/2006/main">
  <xdr:twoCellAnchor editAs="oneCell">
    <xdr:from>
      <xdr:col>2</xdr:col>
      <xdr:colOff>15240</xdr:colOff>
      <xdr:row>15</xdr:row>
      <xdr:rowOff>91440</xdr:rowOff>
    </xdr:from>
    <xdr:to>
      <xdr:col>9</xdr:col>
      <xdr:colOff>320040</xdr:colOff>
      <xdr:row>30</xdr:row>
      <xdr:rowOff>53340</xdr:rowOff>
    </xdr:to>
    <xdr:pic>
      <xdr:nvPicPr>
        <xdr:cNvPr id="5" name="Picture 1">
          <a:extLst>
            <a:ext uri="{FF2B5EF4-FFF2-40B4-BE49-F238E27FC236}">
              <a16:creationId xmlns:a16="http://schemas.microsoft.com/office/drawing/2014/main" id="{F15D6057-D374-951E-FD79-B8E79D06A59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34440" y="822960"/>
          <a:ext cx="4572000" cy="2819400"/>
        </a:xfrm>
        <a:prstGeom prst="rect">
          <a:avLst/>
        </a:prstGeom>
      </xdr:spPr>
    </xdr:pic>
    <xdr:clientData/>
  </xdr:twoCellAnchor>
  <xdr:twoCellAnchor editAs="oneCell">
    <xdr:from>
      <xdr:col>1</xdr:col>
      <xdr:colOff>381000</xdr:colOff>
      <xdr:row>67</xdr:row>
      <xdr:rowOff>0</xdr:rowOff>
    </xdr:from>
    <xdr:to>
      <xdr:col>10</xdr:col>
      <xdr:colOff>360680</xdr:colOff>
      <xdr:row>82</xdr:row>
      <xdr:rowOff>85725</xdr:rowOff>
    </xdr:to>
    <xdr:pic>
      <xdr:nvPicPr>
        <xdr:cNvPr id="4" name="Picture 3" descr="Diagram, schematic&#10;&#10;Description automatically generated">
          <a:extLst>
            <a:ext uri="{FF2B5EF4-FFF2-40B4-BE49-F238E27FC236}">
              <a16:creationId xmlns:a16="http://schemas.microsoft.com/office/drawing/2014/main" id="{4A34EC1F-02C0-871F-B5FE-0C59433E6EE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05840" y="12237720"/>
          <a:ext cx="5801360" cy="2828925"/>
        </a:xfrm>
        <a:prstGeom prst="rect">
          <a:avLst/>
        </a:prstGeom>
      </xdr:spPr>
    </xdr:pic>
    <xdr:clientData/>
  </xdr:twoCellAnchor>
  <xdr:twoCellAnchor editAs="oneCell">
    <xdr:from>
      <xdr:col>1</xdr:col>
      <xdr:colOff>320413</xdr:colOff>
      <xdr:row>47</xdr:row>
      <xdr:rowOff>75734</xdr:rowOff>
    </xdr:from>
    <xdr:to>
      <xdr:col>10</xdr:col>
      <xdr:colOff>364826</xdr:colOff>
      <xdr:row>65</xdr:row>
      <xdr:rowOff>11651</xdr:rowOff>
    </xdr:to>
    <xdr:pic>
      <xdr:nvPicPr>
        <xdr:cNvPr id="7" name="Picture 6">
          <a:extLst>
            <a:ext uri="{FF2B5EF4-FFF2-40B4-BE49-F238E27FC236}">
              <a16:creationId xmlns:a16="http://schemas.microsoft.com/office/drawing/2014/main" id="{9918A1F2-8AD4-4A08-BBC7-5EC3D8A734F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967064" y="8802615"/>
          <a:ext cx="6056523" cy="329151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571500</xdr:colOff>
      <xdr:row>7</xdr:row>
      <xdr:rowOff>165353</xdr:rowOff>
    </xdr:from>
    <xdr:to>
      <xdr:col>20</xdr:col>
      <xdr:colOff>283425</xdr:colOff>
      <xdr:row>21</xdr:row>
      <xdr:rowOff>171679</xdr:rowOff>
    </xdr:to>
    <xdr:graphicFrame macro="">
      <xdr:nvGraphicFramePr>
        <xdr:cNvPr id="2" name="Chart 1">
          <a:extLst>
            <a:ext uri="{FF2B5EF4-FFF2-40B4-BE49-F238E27FC236}">
              <a16:creationId xmlns:a16="http://schemas.microsoft.com/office/drawing/2014/main" id="{D11A6658-7C09-477F-8931-EBF22FD0428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20</xdr:col>
      <xdr:colOff>602077</xdr:colOff>
      <xdr:row>7</xdr:row>
      <xdr:rowOff>142875</xdr:rowOff>
    </xdr:from>
    <xdr:to>
      <xdr:col>28</xdr:col>
      <xdr:colOff>500112</xdr:colOff>
      <xdr:row>22</xdr:row>
      <xdr:rowOff>62491</xdr:rowOff>
    </xdr:to>
    <xdr:graphicFrame macro="">
      <xdr:nvGraphicFramePr>
        <xdr:cNvPr id="3" name="Chart 2">
          <a:extLst>
            <a:ext uri="{FF2B5EF4-FFF2-40B4-BE49-F238E27FC236}">
              <a16:creationId xmlns:a16="http://schemas.microsoft.com/office/drawing/2014/main" id="{32862572-124F-4940-BDBD-21DF2984E1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555993</xdr:colOff>
      <xdr:row>143</xdr:row>
      <xdr:rowOff>176598</xdr:rowOff>
    </xdr:from>
    <xdr:to>
      <xdr:col>20</xdr:col>
      <xdr:colOff>522646</xdr:colOff>
      <xdr:row>158</xdr:row>
      <xdr:rowOff>86254</xdr:rowOff>
    </xdr:to>
    <xdr:graphicFrame macro="">
      <xdr:nvGraphicFramePr>
        <xdr:cNvPr id="12" name="Chart 11">
          <a:extLst>
            <a:ext uri="{FF2B5EF4-FFF2-40B4-BE49-F238E27FC236}">
              <a16:creationId xmlns:a16="http://schemas.microsoft.com/office/drawing/2014/main" id="{FD3BA0B3-BF8F-91C8-E7AE-AA2E770A8B5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20</xdr:col>
      <xdr:colOff>670243</xdr:colOff>
      <xdr:row>144</xdr:row>
      <xdr:rowOff>139675</xdr:rowOff>
    </xdr:from>
    <xdr:to>
      <xdr:col>26</xdr:col>
      <xdr:colOff>568861</xdr:colOff>
      <xdr:row>159</xdr:row>
      <xdr:rowOff>65622</xdr:rowOff>
    </xdr:to>
    <xdr:graphicFrame macro="">
      <xdr:nvGraphicFramePr>
        <xdr:cNvPr id="13" name="Chart 12">
          <a:extLst>
            <a:ext uri="{FF2B5EF4-FFF2-40B4-BE49-F238E27FC236}">
              <a16:creationId xmlns:a16="http://schemas.microsoft.com/office/drawing/2014/main" id="{07CC8AB2-E537-FD88-4137-C94781DA155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1044440</xdr:colOff>
      <xdr:row>143</xdr:row>
      <xdr:rowOff>104699</xdr:rowOff>
    </xdr:from>
    <xdr:to>
      <xdr:col>7</xdr:col>
      <xdr:colOff>738951</xdr:colOff>
      <xdr:row>158</xdr:row>
      <xdr:rowOff>30644</xdr:rowOff>
    </xdr:to>
    <xdr:graphicFrame macro="">
      <xdr:nvGraphicFramePr>
        <xdr:cNvPr id="14" name="Chart 13">
          <a:extLst>
            <a:ext uri="{FF2B5EF4-FFF2-40B4-BE49-F238E27FC236}">
              <a16:creationId xmlns:a16="http://schemas.microsoft.com/office/drawing/2014/main" id="{4B54F1BE-A244-5F55-1844-4568E10151E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86844</xdr:colOff>
      <xdr:row>143</xdr:row>
      <xdr:rowOff>125302</xdr:rowOff>
    </xdr:from>
    <xdr:to>
      <xdr:col>14</xdr:col>
      <xdr:colOff>452434</xdr:colOff>
      <xdr:row>158</xdr:row>
      <xdr:rowOff>51248</xdr:rowOff>
    </xdr:to>
    <xdr:graphicFrame macro="">
      <xdr:nvGraphicFramePr>
        <xdr:cNvPr id="15" name="Chart 14">
          <a:extLst>
            <a:ext uri="{FF2B5EF4-FFF2-40B4-BE49-F238E27FC236}">
              <a16:creationId xmlns:a16="http://schemas.microsoft.com/office/drawing/2014/main" id="{A88798DB-674A-6AAC-93E2-4F8CD97E399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15</xdr:col>
      <xdr:colOff>129887</xdr:colOff>
      <xdr:row>160</xdr:row>
      <xdr:rowOff>31033</xdr:rowOff>
    </xdr:from>
    <xdr:to>
      <xdr:col>20</xdr:col>
      <xdr:colOff>700671</xdr:colOff>
      <xdr:row>174</xdr:row>
      <xdr:rowOff>100265</xdr:rowOff>
    </xdr:to>
    <xdr:graphicFrame macro="">
      <xdr:nvGraphicFramePr>
        <xdr:cNvPr id="16" name="Chart 15">
          <a:extLst>
            <a:ext uri="{FF2B5EF4-FFF2-40B4-BE49-F238E27FC236}">
              <a16:creationId xmlns:a16="http://schemas.microsoft.com/office/drawing/2014/main" id="{321158D6-33A2-13B8-3B3A-DFC1D19AB8F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20</xdr:col>
      <xdr:colOff>686023</xdr:colOff>
      <xdr:row>160</xdr:row>
      <xdr:rowOff>5940</xdr:rowOff>
    </xdr:from>
    <xdr:to>
      <xdr:col>27</xdr:col>
      <xdr:colOff>188265</xdr:colOff>
      <xdr:row>174</xdr:row>
      <xdr:rowOff>171433</xdr:rowOff>
    </xdr:to>
    <xdr:graphicFrame macro="">
      <xdr:nvGraphicFramePr>
        <xdr:cNvPr id="17" name="Chart 16">
          <a:extLst>
            <a:ext uri="{FF2B5EF4-FFF2-40B4-BE49-F238E27FC236}">
              <a16:creationId xmlns:a16="http://schemas.microsoft.com/office/drawing/2014/main" id="{F4B8DA11-B4BE-11E6-CC53-16357B6A7A1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xdr:col>
      <xdr:colOff>947192</xdr:colOff>
      <xdr:row>160</xdr:row>
      <xdr:rowOff>101377</xdr:rowOff>
    </xdr:from>
    <xdr:to>
      <xdr:col>7</xdr:col>
      <xdr:colOff>857649</xdr:colOff>
      <xdr:row>175</xdr:row>
      <xdr:rowOff>79254</xdr:rowOff>
    </xdr:to>
    <xdr:graphicFrame macro="">
      <xdr:nvGraphicFramePr>
        <xdr:cNvPr id="18" name="Chart 17">
          <a:extLst>
            <a:ext uri="{FF2B5EF4-FFF2-40B4-BE49-F238E27FC236}">
              <a16:creationId xmlns:a16="http://schemas.microsoft.com/office/drawing/2014/main" id="{7E37F58B-66EC-A9D0-5FB9-7A6D4417688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11</xdr:col>
      <xdr:colOff>235710</xdr:colOff>
      <xdr:row>121</xdr:row>
      <xdr:rowOff>57882</xdr:rowOff>
    </xdr:from>
    <xdr:to>
      <xdr:col>20</xdr:col>
      <xdr:colOff>662105</xdr:colOff>
      <xdr:row>143</xdr:row>
      <xdr:rowOff>48389</xdr:rowOff>
    </xdr:to>
    <xdr:graphicFrame macro="">
      <xdr:nvGraphicFramePr>
        <xdr:cNvPr id="20" name="Chart 19">
          <a:extLst>
            <a:ext uri="{FF2B5EF4-FFF2-40B4-BE49-F238E27FC236}">
              <a16:creationId xmlns:a16="http://schemas.microsoft.com/office/drawing/2014/main" id="{65772232-1416-EBEE-9C08-82A2A77D78A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8</xdr:col>
      <xdr:colOff>18237</xdr:colOff>
      <xdr:row>160</xdr:row>
      <xdr:rowOff>64068</xdr:rowOff>
    </xdr:from>
    <xdr:to>
      <xdr:col>14</xdr:col>
      <xdr:colOff>393470</xdr:colOff>
      <xdr:row>175</xdr:row>
      <xdr:rowOff>41944</xdr:rowOff>
    </xdr:to>
    <xdr:graphicFrame macro="">
      <xdr:nvGraphicFramePr>
        <xdr:cNvPr id="21" name="Chart 20">
          <a:extLst>
            <a:ext uri="{FF2B5EF4-FFF2-40B4-BE49-F238E27FC236}">
              <a16:creationId xmlns:a16="http://schemas.microsoft.com/office/drawing/2014/main" id="{248EC4B9-0794-99D2-F189-0DF416EC89B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6</xdr:col>
      <xdr:colOff>883920</xdr:colOff>
      <xdr:row>73</xdr:row>
      <xdr:rowOff>133350</xdr:rowOff>
    </xdr:from>
    <xdr:to>
      <xdr:col>10</xdr:col>
      <xdr:colOff>853440</xdr:colOff>
      <xdr:row>88</xdr:row>
      <xdr:rowOff>110490</xdr:rowOff>
    </xdr:to>
    <xdr:graphicFrame macro="">
      <xdr:nvGraphicFramePr>
        <xdr:cNvPr id="3" name="Chart 3">
          <a:extLst>
            <a:ext uri="{FF2B5EF4-FFF2-40B4-BE49-F238E27FC236}">
              <a16:creationId xmlns:a16="http://schemas.microsoft.com/office/drawing/2014/main" id="{63B7F1A5-AC02-2C28-8054-E41A4DF26A4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358140</xdr:colOff>
      <xdr:row>108</xdr:row>
      <xdr:rowOff>104775</xdr:rowOff>
    </xdr:from>
    <xdr:to>
      <xdr:col>10</xdr:col>
      <xdr:colOff>327660</xdr:colOff>
      <xdr:row>123</xdr:row>
      <xdr:rowOff>70485</xdr:rowOff>
    </xdr:to>
    <xdr:graphicFrame macro="">
      <xdr:nvGraphicFramePr>
        <xdr:cNvPr id="26" name="Chart 4">
          <a:extLst>
            <a:ext uri="{FF2B5EF4-FFF2-40B4-BE49-F238E27FC236}">
              <a16:creationId xmlns:a16="http://schemas.microsoft.com/office/drawing/2014/main" id="{AFEF6E76-F773-4454-A7E5-3F869F72D4B8}"/>
            </a:ext>
            <a:ext uri="{147F2762-F138-4A5C-976F-8EAC2B608ADB}">
              <a16:predDERef xmlns:a16="http://schemas.microsoft.com/office/drawing/2014/main" pred="{63B7F1A5-AC02-2C28-8054-E41A4DF26A4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342900</xdr:colOff>
      <xdr:row>108</xdr:row>
      <xdr:rowOff>114300</xdr:rowOff>
    </xdr:from>
    <xdr:to>
      <xdr:col>17</xdr:col>
      <xdr:colOff>112395</xdr:colOff>
      <xdr:row>123</xdr:row>
      <xdr:rowOff>80010</xdr:rowOff>
    </xdr:to>
    <xdr:graphicFrame macro="">
      <xdr:nvGraphicFramePr>
        <xdr:cNvPr id="27" name="Chart 5">
          <a:extLst>
            <a:ext uri="{FF2B5EF4-FFF2-40B4-BE49-F238E27FC236}">
              <a16:creationId xmlns:a16="http://schemas.microsoft.com/office/drawing/2014/main" id="{8824450E-8FDB-E182-40B8-EF6C7A7EB155}"/>
            </a:ext>
            <a:ext uri="{147F2762-F138-4A5C-976F-8EAC2B608ADB}">
              <a16:predDERef xmlns:a16="http://schemas.microsoft.com/office/drawing/2014/main" pred="{AFEF6E76-F773-4454-A7E5-3F869F72D4B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aikatouniversitynz.sharepoint.com/Users/Grace/Documents/Residential%20Material%20Quantity%2017-06-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New Residential Dwellings"/>
      <sheetName val="Distribution of Materials"/>
      <sheetName val="Quantity of Materials"/>
      <sheetName val="Sheet1"/>
      <sheetName val="LDH Case Study Data"/>
      <sheetName val="Material Mass Calculations"/>
    </sheetNames>
    <sheetDataSet>
      <sheetData sheetId="0">
        <row r="3">
          <cell r="E3">
            <v>1991</v>
          </cell>
          <cell r="F3">
            <v>1996</v>
          </cell>
          <cell r="G3">
            <v>2001</v>
          </cell>
          <cell r="H3">
            <v>2006</v>
          </cell>
          <cell r="I3">
            <v>2011</v>
          </cell>
          <cell r="J3">
            <v>2016</v>
          </cell>
          <cell r="K3">
            <v>2021</v>
          </cell>
        </row>
        <row r="4">
          <cell r="E4">
            <v>12392</v>
          </cell>
          <cell r="F4">
            <v>17284</v>
          </cell>
          <cell r="G4">
            <v>15942</v>
          </cell>
          <cell r="H4">
            <v>20082</v>
          </cell>
          <cell r="I4">
            <v>11261</v>
          </cell>
          <cell r="J4">
            <v>21310</v>
          </cell>
          <cell r="K4">
            <v>25512</v>
          </cell>
        </row>
        <row r="5">
          <cell r="E5">
            <v>153</v>
          </cell>
          <cell r="F5">
            <v>183</v>
          </cell>
          <cell r="G5">
            <v>196</v>
          </cell>
          <cell r="H5">
            <v>214</v>
          </cell>
          <cell r="I5">
            <v>209</v>
          </cell>
          <cell r="J5">
            <v>209</v>
          </cell>
          <cell r="K5">
            <v>195</v>
          </cell>
        </row>
        <row r="6">
          <cell r="E6">
            <v>1893000</v>
          </cell>
          <cell r="F6">
            <v>3159000</v>
          </cell>
          <cell r="G6">
            <v>3123000</v>
          </cell>
          <cell r="H6">
            <v>4307000</v>
          </cell>
          <cell r="I6">
            <v>2350000</v>
          </cell>
          <cell r="J6">
            <v>4447000</v>
          </cell>
          <cell r="K6">
            <v>4982000</v>
          </cell>
        </row>
        <row r="7">
          <cell r="E7">
            <v>4974</v>
          </cell>
          <cell r="F7">
            <v>5670</v>
          </cell>
          <cell r="G7">
            <v>4748</v>
          </cell>
          <cell r="H7">
            <v>5850</v>
          </cell>
          <cell r="I7">
            <v>2632</v>
          </cell>
          <cell r="J7">
            <v>8756</v>
          </cell>
          <cell r="K7">
            <v>23195</v>
          </cell>
        </row>
        <row r="8">
          <cell r="E8">
            <v>109</v>
          </cell>
          <cell r="F8">
            <v>134</v>
          </cell>
          <cell r="G8">
            <v>114</v>
          </cell>
          <cell r="H8">
            <v>113</v>
          </cell>
          <cell r="I8">
            <v>101</v>
          </cell>
          <cell r="J8">
            <v>117</v>
          </cell>
          <cell r="K8">
            <v>109</v>
          </cell>
        </row>
        <row r="9">
          <cell r="E9">
            <v>541000</v>
          </cell>
          <cell r="F9">
            <v>761000</v>
          </cell>
          <cell r="G9">
            <v>540000</v>
          </cell>
          <cell r="H9">
            <v>660000</v>
          </cell>
          <cell r="I9">
            <v>267000</v>
          </cell>
          <cell r="J9">
            <v>1024000</v>
          </cell>
          <cell r="K9">
            <v>2540000</v>
          </cell>
        </row>
        <row r="14">
          <cell r="E14">
            <v>3.4950000000000001</v>
          </cell>
          <cell r="F14">
            <v>3.7320000000000002</v>
          </cell>
          <cell r="G14">
            <v>3.88</v>
          </cell>
          <cell r="H14">
            <v>4.1849999999999996</v>
          </cell>
          <cell r="I14">
            <v>4.3840000000000003</v>
          </cell>
          <cell r="J14">
            <v>4.7140000000000004</v>
          </cell>
          <cell r="K14">
            <v>5.1230000000000002</v>
          </cell>
        </row>
      </sheetData>
      <sheetData sheetId="1"/>
      <sheetData sheetId="2"/>
      <sheetData sheetId="3"/>
      <sheetData sheetId="4"/>
      <sheetData sheetId="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tewaihanga.govt.nz/assets/Infrastructure-Resources-Study-11-Nov-21.pdf" TargetMode="External"/><Relationship Id="rId2" Type="http://schemas.openxmlformats.org/officeDocument/2006/relationships/hyperlink" Target="https://www.cement.org/cement-concrete/how-concrete-is-made" TargetMode="External"/><Relationship Id="rId1" Type="http://schemas.openxmlformats.org/officeDocument/2006/relationships/hyperlink" Target="https://infoshare.stats.govt.nz/"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DBFF91-9FCC-413A-B083-4CA7F1A70F20}">
  <sheetPr>
    <tabColor theme="2"/>
  </sheetPr>
  <dimension ref="B2:C68"/>
  <sheetViews>
    <sheetView tabSelected="1" zoomScale="63" zoomScaleNormal="63" workbookViewId="0">
      <selection activeCell="D9" sqref="D9"/>
    </sheetView>
  </sheetViews>
  <sheetFormatPr defaultColWidth="9.36328125" defaultRowHeight="14.5"/>
  <cols>
    <col min="1" max="1" width="9.36328125" style="142"/>
    <col min="2" max="2" width="12" style="142" bestFit="1" customWidth="1"/>
    <col min="3" max="16384" width="9.36328125" style="142"/>
  </cols>
  <sheetData>
    <row r="2" spans="2:2">
      <c r="B2" s="143" t="s">
        <v>0</v>
      </c>
    </row>
    <row r="3" spans="2:2">
      <c r="B3" s="143" t="s">
        <v>1</v>
      </c>
    </row>
    <row r="4" spans="2:2">
      <c r="B4" s="169"/>
    </row>
    <row r="5" spans="2:2" ht="14" customHeight="1">
      <c r="B5" s="143" t="s">
        <v>2</v>
      </c>
    </row>
    <row r="6" spans="2:2" ht="14" customHeight="1">
      <c r="B6" s="143"/>
    </row>
    <row r="7" spans="2:2">
      <c r="B7" s="142" t="s">
        <v>3</v>
      </c>
    </row>
    <row r="8" spans="2:2">
      <c r="B8" s="142" t="s">
        <v>4</v>
      </c>
    </row>
    <row r="9" spans="2:2">
      <c r="B9" s="172" t="s">
        <v>5</v>
      </c>
    </row>
    <row r="10" spans="2:2">
      <c r="B10" s="171">
        <v>44012</v>
      </c>
    </row>
    <row r="12" spans="2:2">
      <c r="B12" s="142" t="s">
        <v>6</v>
      </c>
    </row>
    <row r="13" spans="2:2">
      <c r="B13" s="142" t="s">
        <v>7</v>
      </c>
    </row>
    <row r="14" spans="2:2">
      <c r="B14" s="142" t="s">
        <v>8</v>
      </c>
    </row>
    <row r="15" spans="2:2">
      <c r="B15" s="142" t="s">
        <v>9</v>
      </c>
    </row>
    <row r="33" spans="2:3">
      <c r="B33" s="142" t="s">
        <v>10</v>
      </c>
    </row>
    <row r="34" spans="2:3">
      <c r="B34" s="142" t="s">
        <v>11</v>
      </c>
    </row>
    <row r="36" spans="2:3">
      <c r="B36" s="142" t="s">
        <v>12</v>
      </c>
    </row>
    <row r="37" spans="2:3">
      <c r="B37" s="176" t="s">
        <v>13</v>
      </c>
      <c r="C37" s="176"/>
    </row>
    <row r="38" spans="2:3">
      <c r="B38" s="177" t="s">
        <v>14</v>
      </c>
      <c r="C38" s="177"/>
    </row>
    <row r="39" spans="2:3">
      <c r="B39" s="178" t="s">
        <v>15</v>
      </c>
      <c r="C39" s="178"/>
    </row>
    <row r="40" spans="2:3">
      <c r="B40" s="179" t="s">
        <v>16</v>
      </c>
      <c r="C40" s="179"/>
    </row>
    <row r="41" spans="2:3">
      <c r="B41" s="142" t="s">
        <v>17</v>
      </c>
    </row>
    <row r="42" spans="2:3">
      <c r="B42" s="167" t="s">
        <v>18</v>
      </c>
      <c r="C42" s="168"/>
    </row>
    <row r="43" spans="2:3">
      <c r="B43" s="174" t="s">
        <v>19</v>
      </c>
      <c r="C43" s="168"/>
    </row>
    <row r="46" spans="2:3">
      <c r="B46" s="142" t="s">
        <v>20</v>
      </c>
    </row>
    <row r="47" spans="2:3">
      <c r="B47" s="142" t="s">
        <v>21</v>
      </c>
    </row>
    <row r="48" spans="2:3">
      <c r="B48" s="142" t="s">
        <v>22</v>
      </c>
    </row>
    <row r="68" spans="2:2">
      <c r="B68" s="142" t="s">
        <v>23</v>
      </c>
    </row>
  </sheetData>
  <mergeCells count="4">
    <mergeCell ref="B37:C37"/>
    <mergeCell ref="B38:C38"/>
    <mergeCell ref="B39:C39"/>
    <mergeCell ref="B40:C40"/>
  </mergeCells>
  <hyperlinks>
    <hyperlink ref="B37" location="'Material Input'!A1" display="Material Input" xr:uid="{41D25460-FBCC-4555-9BF7-8A5ED05503E7}"/>
    <hyperlink ref="B38" location="Construction!A1" display="New Construction" xr:uid="{4B3FC76F-5D7C-4FD2-8085-67DDE53B0A54}"/>
    <hyperlink ref="B39" location="Demolition!A1" display="Demolition" xr:uid="{7F18DDD8-9C85-4544-ADF5-25CF34183038}"/>
    <hyperlink ref="B40" location="'Material Output'!A1" display="Material Output" xr:uid="{7854C662-C098-49D3-9E45-BAA0E478A477}"/>
    <hyperlink ref="B42" location="'Building Consents'!A1" display="Building Consents" xr:uid="{6A4CDA18-A1DD-4CE0-BFFB-60F70A7804AA}"/>
    <hyperlink ref="B43" location="'Comercial consent detail'!A1" display="Commercial Building Consents Detailed" xr:uid="{A5C98E5D-6093-4741-9EA7-49506242ABB8}"/>
  </hyperlinks>
  <pageMargins left="0.7" right="0.7" top="0.75" bottom="0.75" header="0.3" footer="0.3"/>
  <pageSetup paperSize="9" scale="70" orientation="landscape"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DAEE43-6469-4620-B257-12E977E25B6E}">
  <sheetPr>
    <tabColor theme="9"/>
  </sheetPr>
  <dimension ref="B2:AD140"/>
  <sheetViews>
    <sheetView zoomScale="87" zoomScaleNormal="124" workbookViewId="0">
      <selection activeCell="I131" sqref="I131"/>
    </sheetView>
  </sheetViews>
  <sheetFormatPr defaultColWidth="8.6328125" defaultRowHeight="14.5"/>
  <cols>
    <col min="3" max="3" width="10" bestFit="1" customWidth="1"/>
    <col min="4" max="4" width="9" bestFit="1" customWidth="1"/>
    <col min="5" max="6" width="9.6328125" bestFit="1" customWidth="1"/>
    <col min="7" max="7" width="9" bestFit="1" customWidth="1"/>
    <col min="8" max="8" width="10.36328125" bestFit="1" customWidth="1"/>
    <col min="9" max="10" width="9" bestFit="1" customWidth="1"/>
    <col min="11" max="11" width="9.6328125" bestFit="1" customWidth="1"/>
    <col min="12" max="21" width="9" bestFit="1" customWidth="1"/>
  </cols>
  <sheetData>
    <row r="2" spans="2:23">
      <c r="B2" s="190" t="s">
        <v>24</v>
      </c>
      <c r="C2" s="190"/>
      <c r="D2" s="190"/>
      <c r="E2" s="190"/>
      <c r="F2" s="190"/>
      <c r="G2" s="190"/>
      <c r="H2" s="190"/>
      <c r="I2" s="190"/>
      <c r="J2" s="190"/>
      <c r="K2" s="190"/>
      <c r="L2" s="190"/>
    </row>
    <row r="3" spans="2:23">
      <c r="B3" s="191" t="s">
        <v>25</v>
      </c>
      <c r="C3" s="191"/>
      <c r="D3" s="191"/>
      <c r="E3" s="191"/>
      <c r="F3" s="191"/>
      <c r="G3" s="191"/>
      <c r="H3" s="191"/>
      <c r="I3" s="191"/>
      <c r="J3" s="191"/>
      <c r="K3" s="191"/>
      <c r="L3" s="191"/>
    </row>
    <row r="4" spans="2:23">
      <c r="B4" s="191" t="s">
        <v>26</v>
      </c>
      <c r="C4" s="191"/>
      <c r="D4" s="191"/>
      <c r="E4" s="191"/>
      <c r="F4" s="191"/>
      <c r="G4" s="191"/>
      <c r="H4" s="191"/>
      <c r="I4" s="191"/>
      <c r="J4" s="191"/>
      <c r="K4" s="191"/>
      <c r="L4" s="191"/>
    </row>
    <row r="5" spans="2:23">
      <c r="B5" s="191" t="s">
        <v>27</v>
      </c>
      <c r="C5" s="191"/>
      <c r="D5" s="191"/>
      <c r="E5" s="191"/>
      <c r="F5" s="191"/>
      <c r="G5" s="191"/>
      <c r="H5" s="191"/>
      <c r="I5" s="191"/>
      <c r="J5" s="191"/>
      <c r="K5" s="191"/>
      <c r="L5" s="191"/>
    </row>
    <row r="6" spans="2:23">
      <c r="B6" s="192" t="s">
        <v>28</v>
      </c>
      <c r="C6" s="192"/>
      <c r="D6" s="192"/>
      <c r="E6" s="192"/>
      <c r="F6" s="192"/>
      <c r="G6" s="192"/>
      <c r="H6" s="192"/>
      <c r="I6" s="192"/>
      <c r="J6" s="192"/>
      <c r="K6" s="192"/>
      <c r="L6" s="192"/>
      <c r="P6" s="38"/>
    </row>
    <row r="8" spans="2:23">
      <c r="B8" s="1" t="s">
        <v>25</v>
      </c>
    </row>
    <row r="9" spans="2:23" ht="15" thickBot="1"/>
    <row r="10" spans="2:23" ht="15" thickBot="1">
      <c r="B10" s="101" t="s">
        <v>29</v>
      </c>
      <c r="C10" s="180" t="s">
        <v>30</v>
      </c>
      <c r="D10" s="180"/>
      <c r="E10" s="180" t="s">
        <v>31</v>
      </c>
      <c r="F10" s="180"/>
      <c r="G10" s="180" t="s">
        <v>32</v>
      </c>
      <c r="H10" s="180"/>
      <c r="I10" s="180" t="s">
        <v>33</v>
      </c>
      <c r="J10" s="180"/>
      <c r="K10" s="180" t="s">
        <v>34</v>
      </c>
      <c r="L10" s="180"/>
      <c r="M10" s="180" t="s">
        <v>35</v>
      </c>
      <c r="N10" s="180"/>
      <c r="O10" s="180" t="s">
        <v>36</v>
      </c>
      <c r="P10" s="180"/>
      <c r="Q10" s="180" t="s">
        <v>37</v>
      </c>
      <c r="R10" s="180"/>
      <c r="S10" s="180" t="s">
        <v>38</v>
      </c>
      <c r="T10" s="180"/>
      <c r="U10" s="180" t="s">
        <v>39</v>
      </c>
      <c r="V10" s="181"/>
      <c r="W10" t="s">
        <v>40</v>
      </c>
    </row>
    <row r="11" spans="2:23">
      <c r="B11" s="102">
        <v>1991</v>
      </c>
      <c r="C11" s="182">
        <f>T27</f>
        <v>1283937.75</v>
      </c>
      <c r="D11" s="182"/>
      <c r="E11" s="182" t="s">
        <v>41</v>
      </c>
      <c r="F11" s="182"/>
      <c r="G11" s="183">
        <f>8*(Construction!E126+Construction!E125)</f>
        <v>1392100.6178416135</v>
      </c>
      <c r="H11" s="183"/>
      <c r="I11" s="184">
        <f>8*Construction!E130</f>
        <v>89818.170776021187</v>
      </c>
      <c r="J11" s="184"/>
      <c r="K11" s="184">
        <f>8*Construction!E131</f>
        <v>37012.860134591996</v>
      </c>
      <c r="L11" s="184"/>
      <c r="M11" s="184">
        <f>Construction!E137/('Building Consents'!BE32/'Building Consents'!BB32)</f>
        <v>91970.313381258558</v>
      </c>
      <c r="N11" s="184"/>
      <c r="O11" s="185">
        <f>Construction!E139/('Building Consents'!BE32/'Building Consents'!BB32)</f>
        <v>19292.975634576218</v>
      </c>
      <c r="P11" s="185"/>
      <c r="Q11" s="186">
        <f>(Construction!E138)/('Building Consents'!BE32/'Building Consents'!BB32)</f>
        <v>7019.3665475284624</v>
      </c>
      <c r="R11" s="186"/>
      <c r="S11" s="186">
        <f>(Construction!E134+Construction!E133+Construction!E135)/('Building Consents'!BE32/'Building Consents'!BB32)</f>
        <v>6863.7563181591031</v>
      </c>
      <c r="T11" s="186"/>
      <c r="U11" s="184">
        <f>Construction!E136/('Building Consents'!BE32/'Building Consents'!BB32)</f>
        <v>12436.037770735144</v>
      </c>
      <c r="V11" s="187"/>
      <c r="W11" t="s">
        <v>42</v>
      </c>
    </row>
    <row r="12" spans="2:23">
      <c r="B12" s="102">
        <v>1996</v>
      </c>
      <c r="C12" s="182">
        <f>T32</f>
        <v>1805951.5554800001</v>
      </c>
      <c r="D12" s="182"/>
      <c r="E12" s="182">
        <f>H79</f>
        <v>5345445.5999999996</v>
      </c>
      <c r="F12" s="182"/>
      <c r="G12" s="182">
        <f>8*(Construction!F126+Construction!F125)</f>
        <v>2241632.2445800146</v>
      </c>
      <c r="H12" s="182"/>
      <c r="I12" s="184">
        <f>8*Construction!F130</f>
        <v>144629.85302951053</v>
      </c>
      <c r="J12" s="184"/>
      <c r="K12" s="184">
        <f>8*Construction!F131</f>
        <v>59600.017181568015</v>
      </c>
      <c r="L12" s="184"/>
      <c r="M12" s="184">
        <f>Construction!F137/('Building Consents'!BE37/'Building Consents'!BB37)</f>
        <v>176536.93229643349</v>
      </c>
      <c r="N12" s="184"/>
      <c r="O12" s="185">
        <f>Construction!F139/('Building Consents'!BE37/'Building Consents'!BB37)</f>
        <v>36914.713596315341</v>
      </c>
      <c r="P12" s="185"/>
      <c r="Q12" s="184">
        <f>(Construction!F138)/('Building Consents'!BE37/'Building Consents'!BB37)</f>
        <v>13430.686413410884</v>
      </c>
      <c r="R12" s="184"/>
      <c r="S12" s="184">
        <f>(Construction!F134+Construction!F133+Construction!F135)/('Building Consents'!BE37/'Building Consents'!BB37)</f>
        <v>13241.555753568393</v>
      </c>
      <c r="T12" s="184"/>
      <c r="U12" s="184">
        <f>Construction!F136/('Building Consents'!BE37/'Building Consents'!BB37)</f>
        <v>23794.814303134921</v>
      </c>
      <c r="V12" s="187"/>
    </row>
    <row r="13" spans="2:23">
      <c r="B13" s="102">
        <v>2001</v>
      </c>
      <c r="C13" s="182">
        <f>T37</f>
        <v>2353516.6203471404</v>
      </c>
      <c r="D13" s="182"/>
      <c r="E13" s="182">
        <f>H84</f>
        <v>6046456.7999999998</v>
      </c>
      <c r="F13" s="182"/>
      <c r="G13" s="182">
        <f>8*(Construction!G126+Construction!G125)</f>
        <v>2095184.3492416663</v>
      </c>
      <c r="H13" s="182"/>
      <c r="I13" s="184">
        <f>8*(Construction!G130)</f>
        <v>135181.05176851919</v>
      </c>
      <c r="J13" s="184"/>
      <c r="K13" s="184">
        <f>8*Construction!G131</f>
        <v>55706.293267008004</v>
      </c>
      <c r="L13" s="184"/>
      <c r="M13" s="184">
        <f>Construction!G137/('Building Consents'!BE42/'Building Consents'!BB42)</f>
        <v>165407.97417988972</v>
      </c>
      <c r="N13" s="184"/>
      <c r="O13" s="185">
        <f>Construction!G139/('Building Consents'!BE42/'Building Consents'!BB42)</f>
        <v>34572.756826432567</v>
      </c>
      <c r="P13" s="185"/>
      <c r="Q13" s="184">
        <f>(Construction!G138)/('Building Consents'!BE42/'Building Consents'!BB42)</f>
        <v>12578.611890660155</v>
      </c>
      <c r="R13" s="184"/>
      <c r="S13" s="184">
        <f>(Construction!G134+Construction!G133+Construction!G135)/('Building Consents'!BE42/'Building Consents'!BB42)</f>
        <v>12569.580206706996</v>
      </c>
      <c r="T13" s="184"/>
      <c r="U13" s="184">
        <f>Construction!G136/('Building Consents'!BE42/'Building Consents'!BB42)</f>
        <v>22285.214985780534</v>
      </c>
      <c r="V13" s="187"/>
    </row>
    <row r="14" spans="2:23">
      <c r="B14" s="102">
        <v>2006</v>
      </c>
      <c r="C14" s="182">
        <f>T42</f>
        <v>1695673.2747499999</v>
      </c>
      <c r="D14" s="182"/>
      <c r="E14" s="182">
        <f>H89</f>
        <v>8620987.1999999993</v>
      </c>
      <c r="F14" s="182"/>
      <c r="G14" s="182">
        <f>8*(Construction!H126+Construction!H125)</f>
        <v>2780877.5880868416</v>
      </c>
      <c r="H14" s="182"/>
      <c r="I14" s="184">
        <f>8*Construction!H130</f>
        <v>236462.0297936147</v>
      </c>
      <c r="J14" s="184"/>
      <c r="K14" s="184">
        <f>8*Construction!H130</f>
        <v>236462.0297936147</v>
      </c>
      <c r="L14" s="184"/>
      <c r="M14" s="184">
        <f>Construction!H137/('Building Consents'!BE47/'Building Consents'!BB47)</f>
        <v>201677.54212130434</v>
      </c>
      <c r="N14" s="184"/>
      <c r="O14" s="185">
        <f>Construction!H139/('Building Consents'!BE47/'Building Consents'!BB47)</f>
        <v>29866.700048638468</v>
      </c>
      <c r="P14" s="185"/>
      <c r="Q14" s="184">
        <f>(Construction!H138)/('Building Consents'!BE47/'Building Consents'!BB47)</f>
        <v>17563.400116740417</v>
      </c>
      <c r="R14" s="184"/>
      <c r="S14" s="184">
        <f>(Construction!H134+Construction!HG135+Construction!H135)/('Building Consents'!BE47/'Building Consents'!BB47)</f>
        <v>12154.922090948941</v>
      </c>
      <c r="T14" s="184"/>
      <c r="U14" s="184">
        <f>Construction!H136/('Building Consents'!BE47/'Building Consents'!BB47)</f>
        <v>27144.303643207517</v>
      </c>
      <c r="V14" s="187"/>
    </row>
    <row r="15" spans="2:23">
      <c r="B15" s="102">
        <v>2011</v>
      </c>
      <c r="C15" s="182">
        <f>T47</f>
        <v>1460259.2289849999</v>
      </c>
      <c r="D15" s="182"/>
      <c r="E15" s="182">
        <f>H94</f>
        <v>6410414.3999999994</v>
      </c>
      <c r="F15" s="182"/>
      <c r="G15" s="182">
        <f>8*(Construction!I126+Construction!I125)</f>
        <v>1350003.3952946463</v>
      </c>
      <c r="H15" s="182"/>
      <c r="I15" s="184">
        <f>8*Construction!I130</f>
        <v>152177.74793539158</v>
      </c>
      <c r="J15" s="184"/>
      <c r="K15" s="184">
        <f>8*Construction!I131</f>
        <v>39197.556551039997</v>
      </c>
      <c r="L15" s="184"/>
      <c r="M15" s="184">
        <f>Construction!I137/('Building Consents'!BE52/'Building Consents'!BB52)</f>
        <v>128588.31087111197</v>
      </c>
      <c r="N15" s="184"/>
      <c r="O15" s="185">
        <f>Construction!I139/('Building Consents'!BE52/'Building Consents'!BB52)</f>
        <v>18163.966889341002</v>
      </c>
      <c r="P15" s="185"/>
      <c r="Q15" s="184">
        <f>(Construction!I138)/('Building Consents'!BE52/'Building Consents'!BB52)</f>
        <v>11439.94793595153</v>
      </c>
      <c r="R15" s="184"/>
      <c r="S15" s="184">
        <f>(Construction!I134+Construction!I133+Construction!I135)/('Building Consents'!BE52/'Building Consents'!BB52)</f>
        <v>13325.805922863017</v>
      </c>
      <c r="T15" s="184"/>
      <c r="U15" s="184">
        <f>Construction!I136/('Building Consents'!BE52/'Building Consents'!BB52)</f>
        <v>26634.062923612812</v>
      </c>
      <c r="V15" s="187"/>
    </row>
    <row r="16" spans="2:23">
      <c r="B16" s="102">
        <v>2016</v>
      </c>
      <c r="C16" s="182">
        <f>T52</f>
        <v>1682909.2493675</v>
      </c>
      <c r="D16" s="182"/>
      <c r="E16" s="182">
        <f>H99</f>
        <v>9789993.5999999996</v>
      </c>
      <c r="F16" s="182"/>
      <c r="G16" s="182">
        <f>8*(Construction!J126+Construction!J125)</f>
        <v>2200497.1035611359</v>
      </c>
      <c r="H16" s="182"/>
      <c r="I16" s="184">
        <f>8*Construction!J130</f>
        <v>278966.42521493515</v>
      </c>
      <c r="J16" s="184"/>
      <c r="K16" s="184">
        <f>8*Construction!J130</f>
        <v>278966.42521493515</v>
      </c>
      <c r="L16" s="184"/>
      <c r="M16" s="184">
        <f>Construction!J137/('Building Consents'!BE57/'Building Consents'!BB57)</f>
        <v>207083.4640956744</v>
      </c>
      <c r="N16" s="184"/>
      <c r="O16" s="185">
        <f>Construction!J139/('Building Consents'!BE57/'Building Consents'!BB57)</f>
        <v>32689.988021222209</v>
      </c>
      <c r="P16" s="185"/>
      <c r="Q16" s="184">
        <f>(Construction!J138)/('Building Consents'!BE57/'Building Consents'!BB57)</f>
        <v>18038.781432877593</v>
      </c>
      <c r="R16" s="184"/>
      <c r="S16" s="184">
        <f>(Construction!J134+Construction!J133+Construction!J135)/('Building Consents'!BE57/'Building Consents'!BB57)</f>
        <v>27127.328082025484</v>
      </c>
      <c r="T16" s="184"/>
      <c r="U16" s="184">
        <f>Construction!J136/('Building Consents'!BE57/'Building Consents'!BB57)</f>
        <v>42890.780505340765</v>
      </c>
      <c r="V16" s="187"/>
    </row>
    <row r="17" spans="2:25" ht="15" thickBot="1">
      <c r="B17" s="103">
        <v>2021</v>
      </c>
      <c r="C17" s="188">
        <f>T57</f>
        <v>1980224.9116710937</v>
      </c>
      <c r="D17" s="188"/>
      <c r="E17" s="188">
        <f>H104</f>
        <v>10853426.4</v>
      </c>
      <c r="F17" s="188"/>
      <c r="G17" s="188">
        <f>8*(Construction!K125+Construction!K126)</f>
        <v>1911407.0535335238</v>
      </c>
      <c r="H17" s="188"/>
      <c r="I17" s="189">
        <f>8*Construction!K130</f>
        <v>486465.2538118072</v>
      </c>
      <c r="J17" s="189"/>
      <c r="K17" s="189">
        <f>8*Construction!K131</f>
        <v>111950.9448</v>
      </c>
      <c r="L17" s="189"/>
      <c r="M17" s="189">
        <f>Construction!K137/('Building Consents'!BE62/'Building Consents'!BB62)</f>
        <v>255451.7633155676</v>
      </c>
      <c r="N17" s="189"/>
      <c r="O17" s="193">
        <f>Construction!K139/('Building Consents'!BE62/'Building Consents'!BB62)</f>
        <v>45842.073717615007</v>
      </c>
      <c r="P17" s="193"/>
      <c r="Q17" s="189">
        <f>(Construction!K138)/('Building Consents'!BE62/'Building Consents'!BB62)</f>
        <v>21324.79386403329</v>
      </c>
      <c r="R17" s="189"/>
      <c r="S17" s="189">
        <f>(Construction!K133+Construction!K134+Construction!K135)/('Building Consents'!BE62/'Building Consents'!BB62)</f>
        <v>42838.49492877692</v>
      </c>
      <c r="T17" s="189"/>
      <c r="U17" s="189">
        <f>Construction!K136/('Building Consents'!BE62/'Building Consents'!BB62)</f>
        <v>52957.43463520056</v>
      </c>
      <c r="V17" s="194"/>
    </row>
    <row r="19" spans="2:25">
      <c r="B19" s="1" t="s">
        <v>43</v>
      </c>
    </row>
    <row r="20" spans="2:25">
      <c r="B20" t="s">
        <v>44</v>
      </c>
    </row>
    <row r="21" spans="2:25">
      <c r="B21" t="s">
        <v>45</v>
      </c>
    </row>
    <row r="22" spans="2:25">
      <c r="B22" t="s">
        <v>46</v>
      </c>
      <c r="Y22" s="1"/>
    </row>
    <row r="23" spans="2:25">
      <c r="B23" t="s">
        <v>47</v>
      </c>
      <c r="Y23" s="1"/>
    </row>
    <row r="24" spans="2:25">
      <c r="Y24" s="1"/>
    </row>
    <row r="25" spans="2:25">
      <c r="C25" t="s">
        <v>29</v>
      </c>
      <c r="D25" t="s">
        <v>48</v>
      </c>
      <c r="F25" t="s">
        <v>49</v>
      </c>
      <c r="G25" t="s">
        <v>50</v>
      </c>
      <c r="H25" t="s">
        <v>51</v>
      </c>
      <c r="I25" t="s">
        <v>52</v>
      </c>
      <c r="J25" t="s">
        <v>53</v>
      </c>
      <c r="K25" t="s">
        <v>54</v>
      </c>
      <c r="L25" t="s">
        <v>55</v>
      </c>
      <c r="M25" t="s">
        <v>56</v>
      </c>
      <c r="N25" t="s">
        <v>57</v>
      </c>
      <c r="O25" t="s">
        <v>58</v>
      </c>
      <c r="P25" t="s">
        <v>59</v>
      </c>
      <c r="Q25" t="s">
        <v>60</v>
      </c>
      <c r="R25" t="s">
        <v>61</v>
      </c>
      <c r="T25" t="s">
        <v>62</v>
      </c>
      <c r="U25" t="s">
        <v>63</v>
      </c>
    </row>
    <row r="26" spans="2:25">
      <c r="C26">
        <v>1990</v>
      </c>
      <c r="D26" s="38">
        <v>13127</v>
      </c>
      <c r="E26" s="38">
        <v>13127000</v>
      </c>
      <c r="F26" s="38"/>
      <c r="G26" s="38">
        <v>3412000</v>
      </c>
      <c r="H26" s="38">
        <v>2254000</v>
      </c>
      <c r="I26" s="38"/>
      <c r="J26" s="38"/>
      <c r="K26" s="38">
        <v>2254000</v>
      </c>
      <c r="L26" s="38">
        <v>957950</v>
      </c>
      <c r="M26" s="38">
        <v>772076</v>
      </c>
      <c r="N26" s="38"/>
      <c r="O26" s="38"/>
      <c r="P26" s="38">
        <v>772076</v>
      </c>
      <c r="Q26" s="38">
        <v>328132.3</v>
      </c>
      <c r="R26" s="38"/>
      <c r="S26" s="38"/>
      <c r="T26" s="38">
        <v>1286082.3</v>
      </c>
      <c r="U26" s="38">
        <v>1041726.6630000001</v>
      </c>
    </row>
    <row r="27" spans="2:25">
      <c r="C27">
        <v>1991</v>
      </c>
      <c r="D27" s="38">
        <v>13820</v>
      </c>
      <c r="E27" s="38">
        <v>13820000</v>
      </c>
      <c r="F27" s="38"/>
      <c r="G27" s="38">
        <v>4362000</v>
      </c>
      <c r="H27" s="38">
        <v>2263000</v>
      </c>
      <c r="I27" s="38"/>
      <c r="J27" s="38"/>
      <c r="K27" s="38">
        <v>2263000</v>
      </c>
      <c r="L27" s="38">
        <v>961775</v>
      </c>
      <c r="M27" s="38">
        <v>758030</v>
      </c>
      <c r="N27" s="38"/>
      <c r="O27" s="38"/>
      <c r="P27" s="38">
        <v>758030</v>
      </c>
      <c r="Q27" s="38">
        <v>322162.75</v>
      </c>
      <c r="R27" s="38"/>
      <c r="S27" s="38"/>
      <c r="T27" s="38">
        <v>1283937.75</v>
      </c>
      <c r="U27" s="38">
        <v>1039989.5775</v>
      </c>
    </row>
    <row r="28" spans="2:25">
      <c r="C28">
        <v>1992</v>
      </c>
      <c r="D28" s="38">
        <v>14253</v>
      </c>
      <c r="E28" s="38">
        <v>14253000</v>
      </c>
      <c r="F28" s="38"/>
      <c r="G28" s="38">
        <v>4852000</v>
      </c>
      <c r="H28" s="38">
        <v>2544084.8861283641</v>
      </c>
      <c r="I28" s="38"/>
      <c r="J28" s="38"/>
      <c r="K28" s="38">
        <v>2544084.8861283641</v>
      </c>
      <c r="L28" s="38">
        <v>1081236.0766045547</v>
      </c>
      <c r="M28" s="38">
        <v>809979</v>
      </c>
      <c r="N28" s="38"/>
      <c r="O28" s="38"/>
      <c r="P28" s="38">
        <v>809979</v>
      </c>
      <c r="Q28" s="38">
        <v>344241.07500000001</v>
      </c>
      <c r="R28" s="38"/>
      <c r="S28" s="38"/>
      <c r="T28" s="38">
        <v>1425477.1516045546</v>
      </c>
      <c r="U28" s="38">
        <v>1154636.4927996893</v>
      </c>
    </row>
    <row r="29" spans="2:25">
      <c r="C29">
        <v>1993</v>
      </c>
      <c r="D29" s="38">
        <v>14907</v>
      </c>
      <c r="E29" s="38">
        <v>14907000</v>
      </c>
      <c r="F29" s="38"/>
      <c r="G29" s="38">
        <v>5191000</v>
      </c>
      <c r="H29" s="38">
        <v>2803040</v>
      </c>
      <c r="I29" s="38"/>
      <c r="J29" s="38"/>
      <c r="K29" s="38">
        <v>2803040</v>
      </c>
      <c r="L29" s="38">
        <v>1191292</v>
      </c>
      <c r="M29" s="38">
        <v>961532.68299999996</v>
      </c>
      <c r="N29" s="38"/>
      <c r="O29" s="38"/>
      <c r="P29" s="38">
        <v>961532.68299999996</v>
      </c>
      <c r="Q29" s="38">
        <v>408651.39027499995</v>
      </c>
      <c r="R29" s="38"/>
      <c r="S29" s="38"/>
      <c r="T29" s="38">
        <v>1599943.3902749999</v>
      </c>
      <c r="U29" s="38">
        <v>1295954.1461227499</v>
      </c>
    </row>
    <row r="30" spans="2:25">
      <c r="C30">
        <v>1994</v>
      </c>
      <c r="D30" s="38">
        <v>15948</v>
      </c>
      <c r="E30" s="38">
        <v>15948000</v>
      </c>
      <c r="F30" s="38"/>
      <c r="G30" s="38">
        <v>5165000</v>
      </c>
      <c r="H30" s="38">
        <v>2865392</v>
      </c>
      <c r="I30" s="38"/>
      <c r="J30" s="38"/>
      <c r="K30" s="38">
        <v>2865392</v>
      </c>
      <c r="L30" s="38">
        <v>1217791.6000000001</v>
      </c>
      <c r="M30" s="38">
        <v>1172998.068</v>
      </c>
      <c r="N30" s="38"/>
      <c r="O30" s="38"/>
      <c r="P30" s="38">
        <v>1172998.068</v>
      </c>
      <c r="Q30" s="38">
        <v>498524.1789</v>
      </c>
      <c r="R30" s="38"/>
      <c r="S30" s="38"/>
      <c r="T30" s="38">
        <v>1716315.7789</v>
      </c>
      <c r="U30" s="38">
        <v>1390215.7809090002</v>
      </c>
    </row>
    <row r="31" spans="2:25">
      <c r="C31">
        <v>1995</v>
      </c>
      <c r="D31" s="38">
        <v>16594</v>
      </c>
      <c r="E31" s="38">
        <v>16594000</v>
      </c>
      <c r="F31" s="38"/>
      <c r="G31" s="38">
        <v>5347000</v>
      </c>
      <c r="H31" s="38">
        <v>2950015.9999999995</v>
      </c>
      <c r="I31" s="38"/>
      <c r="J31" s="38"/>
      <c r="K31" s="38">
        <v>2950015.9999999995</v>
      </c>
      <c r="L31" s="38">
        <v>1253756.7999999998</v>
      </c>
      <c r="M31" s="38">
        <v>1256543.861</v>
      </c>
      <c r="N31" s="38"/>
      <c r="O31" s="38"/>
      <c r="P31" s="38">
        <v>1256543.861</v>
      </c>
      <c r="Q31" s="38">
        <v>534031.14092499996</v>
      </c>
      <c r="R31" s="38"/>
      <c r="S31" s="38"/>
      <c r="T31" s="38">
        <v>1787787.9409249998</v>
      </c>
      <c r="U31" s="38">
        <v>1448108.2321492499</v>
      </c>
    </row>
    <row r="32" spans="2:25">
      <c r="C32">
        <v>1996</v>
      </c>
      <c r="D32" s="38">
        <v>16322</v>
      </c>
      <c r="E32" s="38">
        <v>16322000</v>
      </c>
      <c r="F32" s="38"/>
      <c r="G32" s="38">
        <v>5469000</v>
      </c>
      <c r="H32" s="38">
        <v>3030984.7776000001</v>
      </c>
      <c r="I32" s="38"/>
      <c r="J32" s="38"/>
      <c r="K32" s="38">
        <v>3030984.7776000001</v>
      </c>
      <c r="L32" s="38">
        <v>1288168.53048</v>
      </c>
      <c r="M32" s="38">
        <v>1218313</v>
      </c>
      <c r="N32" s="38"/>
      <c r="O32" s="38"/>
      <c r="P32" s="38">
        <v>1218313</v>
      </c>
      <c r="Q32" s="38">
        <v>517783.02500000002</v>
      </c>
      <c r="R32" s="38"/>
      <c r="S32" s="38"/>
      <c r="T32" s="38">
        <v>1805951.5554800001</v>
      </c>
      <c r="U32" s="38">
        <v>1462820.7599388002</v>
      </c>
    </row>
    <row r="33" spans="3:30">
      <c r="C33">
        <v>1997</v>
      </c>
      <c r="D33" s="38">
        <v>16921</v>
      </c>
      <c r="E33" s="38">
        <v>16921000</v>
      </c>
      <c r="F33" s="38"/>
      <c r="G33" s="38">
        <v>5704000</v>
      </c>
      <c r="H33" s="38">
        <v>3136064.4917000001</v>
      </c>
      <c r="I33" s="38"/>
      <c r="J33" s="38"/>
      <c r="K33" s="38">
        <v>3136064.4917000001</v>
      </c>
      <c r="L33" s="38">
        <v>1332827.4089725001</v>
      </c>
      <c r="M33" s="38">
        <v>1332150</v>
      </c>
      <c r="N33" s="38"/>
      <c r="O33" s="38"/>
      <c r="P33" s="38">
        <v>1332150</v>
      </c>
      <c r="Q33" s="38">
        <v>566163.75</v>
      </c>
      <c r="R33" s="38"/>
      <c r="S33" s="38"/>
      <c r="T33" s="38">
        <v>1898991.1589725001</v>
      </c>
      <c r="U33" s="38">
        <v>1538182.8387677253</v>
      </c>
    </row>
    <row r="34" spans="3:30">
      <c r="C34">
        <v>1998</v>
      </c>
      <c r="D34" s="38">
        <v>15302</v>
      </c>
      <c r="E34" s="38">
        <v>15302000</v>
      </c>
      <c r="F34" s="38"/>
      <c r="G34" s="38">
        <v>5775000</v>
      </c>
      <c r="H34" s="38">
        <v>3178056.2081800005</v>
      </c>
      <c r="I34" s="38"/>
      <c r="J34" s="38"/>
      <c r="K34" s="38">
        <v>3178056.2081800005</v>
      </c>
      <c r="L34" s="38">
        <v>1350673.8884765003</v>
      </c>
      <c r="M34" s="38">
        <v>1184498</v>
      </c>
      <c r="N34" s="38"/>
      <c r="O34" s="38"/>
      <c r="P34" s="38">
        <v>1184498</v>
      </c>
      <c r="Q34" s="38">
        <v>503411.65</v>
      </c>
      <c r="R34" s="38"/>
      <c r="S34" s="38"/>
      <c r="T34" s="38">
        <v>1854085.5384765002</v>
      </c>
      <c r="U34" s="38">
        <v>1501809.2861659653</v>
      </c>
    </row>
    <row r="35" spans="3:30">
      <c r="C35">
        <v>1999</v>
      </c>
      <c r="D35" s="38">
        <v>17750</v>
      </c>
      <c r="E35" s="38">
        <v>17750000</v>
      </c>
      <c r="F35" s="38"/>
      <c r="G35" s="38">
        <v>6691000</v>
      </c>
      <c r="H35" s="38">
        <v>3653012.40087</v>
      </c>
      <c r="I35" s="38"/>
      <c r="J35" s="38"/>
      <c r="K35" s="38">
        <v>3653012.40087</v>
      </c>
      <c r="L35" s="38">
        <v>1552530.27036975</v>
      </c>
      <c r="M35" s="38">
        <v>1478684.3140760125</v>
      </c>
      <c r="N35" s="38"/>
      <c r="O35" s="38"/>
      <c r="P35" s="38">
        <v>1478684.3140760125</v>
      </c>
      <c r="Q35" s="38">
        <v>628440.83348230529</v>
      </c>
      <c r="R35" s="38"/>
      <c r="S35" s="38"/>
      <c r="T35" s="38">
        <v>2180971.103852055</v>
      </c>
      <c r="U35" s="38">
        <v>1766586.5941201646</v>
      </c>
    </row>
    <row r="36" spans="3:30">
      <c r="C36">
        <v>2000</v>
      </c>
      <c r="D36" s="38">
        <v>19279</v>
      </c>
      <c r="E36" s="38">
        <v>19279000</v>
      </c>
      <c r="F36" s="38"/>
      <c r="G36" s="38">
        <v>7299000</v>
      </c>
      <c r="H36" s="38">
        <v>3909754.5549099995</v>
      </c>
      <c r="I36" s="38"/>
      <c r="J36" s="38"/>
      <c r="K36" s="38">
        <v>3909754.5549099995</v>
      </c>
      <c r="L36" s="38">
        <v>1661645.6858367498</v>
      </c>
      <c r="M36" s="38">
        <v>1653886.6973134</v>
      </c>
      <c r="N36" s="38"/>
      <c r="O36" s="38"/>
      <c r="P36" s="38">
        <v>1653886.6973134</v>
      </c>
      <c r="Q36" s="38">
        <v>702901.84635819495</v>
      </c>
      <c r="R36" s="38"/>
      <c r="S36" s="38"/>
      <c r="T36" s="38">
        <v>2364547.532194945</v>
      </c>
      <c r="U36" s="38">
        <v>1915283.5010779055</v>
      </c>
    </row>
    <row r="37" spans="3:30">
      <c r="C37">
        <v>2001</v>
      </c>
      <c r="D37" s="38">
        <v>20671</v>
      </c>
      <c r="E37" s="38">
        <v>20671000</v>
      </c>
      <c r="F37" s="38"/>
      <c r="G37" s="38">
        <v>7226000</v>
      </c>
      <c r="H37" s="38">
        <v>3821109.3286599996</v>
      </c>
      <c r="I37" s="38"/>
      <c r="J37" s="38"/>
      <c r="K37" s="38">
        <v>3821109.3286599996</v>
      </c>
      <c r="L37" s="38">
        <v>1623971.4646804999</v>
      </c>
      <c r="M37" s="38">
        <v>1716576.836862684</v>
      </c>
      <c r="N37" s="38"/>
      <c r="O37" s="38"/>
      <c r="P37" s="38">
        <v>1716576.836862684</v>
      </c>
      <c r="Q37" s="38">
        <v>729545.15566664061</v>
      </c>
      <c r="R37" s="38"/>
      <c r="S37" s="38"/>
      <c r="T37" s="38">
        <v>2353516.6203471404</v>
      </c>
      <c r="U37" s="38">
        <v>1906348.4624811837</v>
      </c>
    </row>
    <row r="38" spans="3:30">
      <c r="C38">
        <v>2002</v>
      </c>
      <c r="D38" s="38">
        <v>22098.502668497371</v>
      </c>
      <c r="E38" s="38">
        <v>22098502.668497372</v>
      </c>
      <c r="F38" s="38"/>
      <c r="G38" s="38">
        <v>8123740.0000000009</v>
      </c>
      <c r="H38" s="38">
        <v>4308690.0000000009</v>
      </c>
      <c r="I38" s="38"/>
      <c r="J38" s="38"/>
      <c r="K38" s="38">
        <v>4308690.0000000009</v>
      </c>
      <c r="L38" s="38">
        <v>1831193.2500000005</v>
      </c>
      <c r="M38" s="38">
        <v>1936746.9900000002</v>
      </c>
      <c r="N38" s="38"/>
      <c r="O38" s="38"/>
      <c r="P38" s="38">
        <v>1936746.9900000002</v>
      </c>
      <c r="Q38" s="38">
        <v>823117.47075000009</v>
      </c>
      <c r="R38" s="38"/>
      <c r="S38" s="38"/>
      <c r="T38" s="38">
        <v>2654310.7207500003</v>
      </c>
      <c r="U38" s="38">
        <v>2149991.6838075006</v>
      </c>
      <c r="AD38" s="38"/>
    </row>
    <row r="39" spans="3:30">
      <c r="C39">
        <v>2003</v>
      </c>
      <c r="D39" s="38">
        <v>21268.899999999998</v>
      </c>
      <c r="E39" s="38">
        <v>21268899.999999996</v>
      </c>
      <c r="F39" s="38">
        <v>7539829.9020000016</v>
      </c>
      <c r="G39" s="38">
        <v>7937990</v>
      </c>
      <c r="H39" s="38">
        <v>4300690</v>
      </c>
      <c r="I39" s="38">
        <v>1630884.3360000001</v>
      </c>
      <c r="J39" s="38">
        <v>41545.874000000003</v>
      </c>
      <c r="K39" s="38">
        <v>2711351.5379999997</v>
      </c>
      <c r="L39" s="38">
        <v>1152324.4036499998</v>
      </c>
      <c r="M39" s="38">
        <v>2071664.79</v>
      </c>
      <c r="N39" s="38">
        <v>879628.13300000003</v>
      </c>
      <c r="O39" s="38">
        <v>25809.919999999998</v>
      </c>
      <c r="P39" s="38">
        <v>1217846.577</v>
      </c>
      <c r="Q39" s="38">
        <v>517584.79522500001</v>
      </c>
      <c r="R39" s="38">
        <v>147622</v>
      </c>
      <c r="S39" s="38">
        <v>62739.35</v>
      </c>
      <c r="T39" s="38">
        <v>1732648.5488749999</v>
      </c>
      <c r="U39" s="38">
        <v>1403445.32458875</v>
      </c>
    </row>
    <row r="40" spans="3:30">
      <c r="C40">
        <v>2004</v>
      </c>
      <c r="D40" s="38">
        <v>19845</v>
      </c>
      <c r="E40" s="38">
        <v>19845000</v>
      </c>
      <c r="F40" s="38">
        <v>5519010.9239999996</v>
      </c>
      <c r="G40" s="38">
        <v>8079350</v>
      </c>
      <c r="H40" s="38">
        <v>4423910</v>
      </c>
      <c r="I40" s="38">
        <v>1847802.9329999997</v>
      </c>
      <c r="J40" s="38">
        <v>43125.072</v>
      </c>
      <c r="K40" s="38">
        <v>2619232.1390000004</v>
      </c>
      <c r="L40" s="38">
        <v>1113173.6590750003</v>
      </c>
      <c r="M40" s="38">
        <v>2200040.46</v>
      </c>
      <c r="N40" s="38">
        <v>927968.15800000005</v>
      </c>
      <c r="O40" s="38">
        <v>21395.343000000001</v>
      </c>
      <c r="P40" s="38">
        <v>1293467.645</v>
      </c>
      <c r="Q40" s="38">
        <v>549723.74912499997</v>
      </c>
      <c r="R40" s="38">
        <v>182696</v>
      </c>
      <c r="S40" s="38">
        <v>77645.8</v>
      </c>
      <c r="T40" s="38">
        <v>1740543.2082000005</v>
      </c>
      <c r="U40" s="38">
        <v>1409839.9986420004</v>
      </c>
    </row>
    <row r="41" spans="3:30">
      <c r="C41">
        <v>2005</v>
      </c>
      <c r="D41" s="38">
        <v>19085.95</v>
      </c>
      <c r="E41" s="38">
        <v>19085950</v>
      </c>
      <c r="F41" s="38">
        <v>5193817.4389999993</v>
      </c>
      <c r="G41" s="38">
        <v>7726000</v>
      </c>
      <c r="H41" s="38">
        <v>4270740.0000000009</v>
      </c>
      <c r="I41" s="38">
        <v>1801652.2459999998</v>
      </c>
      <c r="J41" s="38">
        <v>57771.488000000005</v>
      </c>
      <c r="K41" s="38">
        <v>2526859.242000001</v>
      </c>
      <c r="L41" s="38">
        <v>1073915.1778500003</v>
      </c>
      <c r="M41" s="38">
        <v>2175333.14</v>
      </c>
      <c r="N41" s="38">
        <v>897029.55200000003</v>
      </c>
      <c r="O41" s="38">
        <v>31260.952000000001</v>
      </c>
      <c r="P41" s="38">
        <v>1309564.54</v>
      </c>
      <c r="Q41" s="38">
        <v>556564.92949999997</v>
      </c>
      <c r="R41" s="38">
        <v>226061</v>
      </c>
      <c r="S41" s="38">
        <v>96075.925000000003</v>
      </c>
      <c r="T41" s="38">
        <v>1726556.0323500002</v>
      </c>
      <c r="U41" s="38">
        <v>1398510.3862035002</v>
      </c>
    </row>
    <row r="42" spans="3:30">
      <c r="C42">
        <v>2006</v>
      </c>
      <c r="D42" s="38">
        <v>19424.28</v>
      </c>
      <c r="E42" s="38">
        <v>19424280</v>
      </c>
      <c r="F42" s="38">
        <v>5576770.7769999998</v>
      </c>
      <c r="G42" s="38">
        <v>7749000</v>
      </c>
      <c r="H42" s="38">
        <v>4292240</v>
      </c>
      <c r="I42" s="38">
        <v>1959721.6430000002</v>
      </c>
      <c r="J42" s="38">
        <v>53504.192000000003</v>
      </c>
      <c r="K42" s="38">
        <v>2386022.5489999996</v>
      </c>
      <c r="L42" s="38">
        <v>1014059.5833249998</v>
      </c>
      <c r="M42" s="38">
        <v>2228473.9700000002</v>
      </c>
      <c r="N42" s="38">
        <v>894465.84100000001</v>
      </c>
      <c r="O42" s="38">
        <v>44443.792000000001</v>
      </c>
      <c r="P42" s="38">
        <v>1378451.9210000001</v>
      </c>
      <c r="Q42" s="38">
        <v>585842.06642500008</v>
      </c>
      <c r="R42" s="38">
        <v>225345</v>
      </c>
      <c r="S42" s="38">
        <v>95771.625</v>
      </c>
      <c r="T42" s="38">
        <v>1695673.2747499999</v>
      </c>
      <c r="U42" s="38">
        <v>1373495.3525475</v>
      </c>
    </row>
    <row r="43" spans="3:30">
      <c r="C43">
        <v>2007</v>
      </c>
      <c r="D43" s="38">
        <v>20394.57</v>
      </c>
      <c r="E43" s="38">
        <v>20394570</v>
      </c>
      <c r="F43" s="38">
        <v>5978225.8200000003</v>
      </c>
      <c r="G43" s="38">
        <v>8048000</v>
      </c>
      <c r="H43" s="38">
        <v>4457519.9999999991</v>
      </c>
      <c r="I43" s="38">
        <v>1781252.9160000002</v>
      </c>
      <c r="J43" s="38">
        <v>53373.543999999994</v>
      </c>
      <c r="K43" s="38">
        <v>2729640.6279999986</v>
      </c>
      <c r="L43" s="38">
        <v>1160097.2668999995</v>
      </c>
      <c r="M43" s="38">
        <v>2009950.5</v>
      </c>
      <c r="N43" s="38">
        <v>764548.10200000007</v>
      </c>
      <c r="O43" s="38">
        <v>62047.234000000004</v>
      </c>
      <c r="P43" s="38">
        <v>1307449.632</v>
      </c>
      <c r="Q43" s="38">
        <v>555666.09360000002</v>
      </c>
      <c r="R43" s="38">
        <v>245016</v>
      </c>
      <c r="S43" s="38">
        <v>104131.8</v>
      </c>
      <c r="T43" s="38">
        <v>1819895.1604999995</v>
      </c>
      <c r="U43" s="38">
        <v>1474115.0800049996</v>
      </c>
    </row>
    <row r="44" spans="3:30">
      <c r="C44">
        <v>2008</v>
      </c>
      <c r="D44" s="38">
        <v>19473.27</v>
      </c>
      <c r="E44" s="38">
        <v>19473270</v>
      </c>
      <c r="F44" s="38">
        <v>6684002.3229999989</v>
      </c>
      <c r="G44" s="38">
        <v>6847000</v>
      </c>
      <c r="H44" s="38">
        <v>3786819.9999999995</v>
      </c>
      <c r="I44" s="38">
        <v>1793583.42</v>
      </c>
      <c r="J44" s="38">
        <v>45563.610000000008</v>
      </c>
      <c r="K44" s="38">
        <v>2038800.1899999997</v>
      </c>
      <c r="L44" s="38">
        <v>866490.08074999985</v>
      </c>
      <c r="M44" s="38">
        <v>1802488.3</v>
      </c>
      <c r="N44" s="38">
        <v>743613.44300000009</v>
      </c>
      <c r="O44" s="38">
        <v>56634.031000000003</v>
      </c>
      <c r="P44" s="38">
        <v>1115508.8879999998</v>
      </c>
      <c r="Q44" s="38">
        <v>474091.2773999999</v>
      </c>
      <c r="R44" s="38">
        <v>240946</v>
      </c>
      <c r="S44" s="38">
        <v>102402.05</v>
      </c>
      <c r="T44" s="38">
        <v>1442983.4081499998</v>
      </c>
      <c r="U44" s="38">
        <v>1168816.5606014999</v>
      </c>
    </row>
    <row r="45" spans="3:30">
      <c r="C45">
        <v>2009</v>
      </c>
      <c r="D45" s="38">
        <v>20826.969999999998</v>
      </c>
      <c r="E45" s="38">
        <v>20826969.999999996</v>
      </c>
      <c r="F45" s="38">
        <v>8820776.1430000011</v>
      </c>
      <c r="G45" s="38">
        <v>6498000</v>
      </c>
      <c r="H45" s="38">
        <v>3596890.0000000005</v>
      </c>
      <c r="I45" s="38">
        <v>1859329.736</v>
      </c>
      <c r="J45" s="38">
        <v>39101.744999999995</v>
      </c>
      <c r="K45" s="38">
        <v>1776662.0090000005</v>
      </c>
      <c r="L45" s="38">
        <v>755081.35382500023</v>
      </c>
      <c r="M45" s="38">
        <v>1467501.8900000001</v>
      </c>
      <c r="N45" s="38">
        <v>653749.77899999998</v>
      </c>
      <c r="O45" s="38">
        <v>38258.068999999996</v>
      </c>
      <c r="P45" s="38">
        <v>852010.18000000017</v>
      </c>
      <c r="Q45" s="38">
        <v>362104.32650000008</v>
      </c>
      <c r="R45" s="38">
        <v>231232</v>
      </c>
      <c r="S45" s="38">
        <v>98273.600000000006</v>
      </c>
      <c r="T45" s="38">
        <v>1215459.2803250004</v>
      </c>
      <c r="U45" s="38">
        <v>984522.01706325042</v>
      </c>
    </row>
    <row r="46" spans="3:30">
      <c r="C46">
        <v>2010</v>
      </c>
      <c r="D46" s="38">
        <v>24491.899999999998</v>
      </c>
      <c r="E46" s="38">
        <v>24491899.999999996</v>
      </c>
      <c r="F46" s="38">
        <v>10886433.838000003</v>
      </c>
      <c r="G46" s="38">
        <v>7365000</v>
      </c>
      <c r="H46" s="38">
        <v>4079379.9999999995</v>
      </c>
      <c r="I46" s="38">
        <v>2023766.2379999999</v>
      </c>
      <c r="J46" s="38">
        <v>38306.320000000007</v>
      </c>
      <c r="K46" s="38">
        <v>2093920.0819999997</v>
      </c>
      <c r="L46" s="38">
        <v>889916.03484999994</v>
      </c>
      <c r="M46" s="38">
        <v>1831207.14</v>
      </c>
      <c r="N46" s="38">
        <v>658305.93599999999</v>
      </c>
      <c r="O46" s="38">
        <v>63296.581999999995</v>
      </c>
      <c r="P46" s="38">
        <v>1236197.7859999998</v>
      </c>
      <c r="Q46" s="38">
        <v>525384.05904999992</v>
      </c>
      <c r="R46" s="38">
        <v>148520</v>
      </c>
      <c r="S46" s="38">
        <v>63121</v>
      </c>
      <c r="T46" s="38">
        <v>1478421.0938999997</v>
      </c>
      <c r="U46" s="38">
        <v>1197521.0860589999</v>
      </c>
    </row>
    <row r="47" spans="3:30">
      <c r="C47">
        <v>2011</v>
      </c>
      <c r="D47" s="38">
        <v>26130.059999999998</v>
      </c>
      <c r="E47" s="38">
        <v>26130059.999999996</v>
      </c>
      <c r="F47" s="38">
        <v>12799028.757000001</v>
      </c>
      <c r="G47" s="38">
        <v>6923000</v>
      </c>
      <c r="H47" s="38">
        <v>3832299.9999999995</v>
      </c>
      <c r="I47" s="38">
        <v>1906240.6387999996</v>
      </c>
      <c r="J47" s="38">
        <v>45083.37999999999</v>
      </c>
      <c r="K47" s="38">
        <v>1971142.7411999998</v>
      </c>
      <c r="L47" s="38">
        <v>837735.66500999988</v>
      </c>
      <c r="M47" s="38">
        <v>1924171.9200000002</v>
      </c>
      <c r="N47" s="38">
        <v>761126.98820000002</v>
      </c>
      <c r="O47" s="38">
        <v>82281.395199999999</v>
      </c>
      <c r="P47" s="38">
        <v>1245326.327</v>
      </c>
      <c r="Q47" s="38">
        <v>529263.68897500006</v>
      </c>
      <c r="R47" s="38">
        <v>219435</v>
      </c>
      <c r="S47" s="38">
        <v>93259.875</v>
      </c>
      <c r="T47" s="38">
        <v>1460259.2289849999</v>
      </c>
      <c r="U47" s="38">
        <v>1182809.9754778501</v>
      </c>
    </row>
    <row r="48" spans="3:30">
      <c r="C48">
        <v>2012</v>
      </c>
      <c r="D48" s="38">
        <v>27413.690000000002</v>
      </c>
      <c r="E48" s="38">
        <v>27413690.000000004</v>
      </c>
      <c r="F48" s="38">
        <v>13761008.2853</v>
      </c>
      <c r="G48" s="38">
        <v>7335000</v>
      </c>
      <c r="H48" s="38">
        <v>4058920</v>
      </c>
      <c r="I48" s="38">
        <v>2113414.4857000001</v>
      </c>
      <c r="J48" s="38">
        <v>39528.789700000008</v>
      </c>
      <c r="K48" s="38">
        <v>1985034.304</v>
      </c>
      <c r="L48" s="38">
        <v>843639.57920000004</v>
      </c>
      <c r="M48" s="38">
        <v>1918694.16</v>
      </c>
      <c r="N48" s="38">
        <v>767314.37170000002</v>
      </c>
      <c r="O48" s="38">
        <v>142505.04329999999</v>
      </c>
      <c r="P48" s="38">
        <v>1293884.8315999999</v>
      </c>
      <c r="Q48" s="38">
        <v>549901.05342999997</v>
      </c>
      <c r="R48" s="38">
        <v>200294</v>
      </c>
      <c r="S48" s="38">
        <v>85124.95</v>
      </c>
      <c r="T48" s="38">
        <v>1478665.5826299998</v>
      </c>
      <c r="U48" s="38">
        <v>1197719.1219303</v>
      </c>
    </row>
    <row r="49" spans="3:21">
      <c r="C49">
        <v>2013</v>
      </c>
      <c r="D49" s="38">
        <v>29763.71</v>
      </c>
      <c r="E49" s="38">
        <v>29763710</v>
      </c>
      <c r="F49" s="38">
        <v>16602314.9322</v>
      </c>
      <c r="G49" s="38">
        <v>7112000</v>
      </c>
      <c r="H49" s="38">
        <v>3941260</v>
      </c>
      <c r="I49" s="38">
        <v>2027517.4998999997</v>
      </c>
      <c r="J49" s="38">
        <v>53291.108899999999</v>
      </c>
      <c r="K49" s="38">
        <v>1967033.6090000004</v>
      </c>
      <c r="L49" s="38">
        <v>835989.28382500017</v>
      </c>
      <c r="M49" s="38">
        <v>1805567.2700000003</v>
      </c>
      <c r="N49" s="38">
        <v>866274.24939999997</v>
      </c>
      <c r="O49" s="38">
        <v>227984.315</v>
      </c>
      <c r="P49" s="38">
        <v>1167277.3356000003</v>
      </c>
      <c r="Q49" s="38">
        <v>496092.86763000017</v>
      </c>
      <c r="R49" s="38">
        <v>197162</v>
      </c>
      <c r="S49" s="38">
        <v>83793.850000000006</v>
      </c>
      <c r="T49" s="38">
        <v>1415876.0014550004</v>
      </c>
      <c r="U49" s="38">
        <v>1146859.5611785504</v>
      </c>
    </row>
    <row r="50" spans="3:21">
      <c r="C50">
        <v>2014</v>
      </c>
      <c r="D50" s="38">
        <v>29193.86</v>
      </c>
      <c r="E50" s="38">
        <v>29193860</v>
      </c>
      <c r="F50" s="38">
        <v>16561107.175999997</v>
      </c>
      <c r="G50" s="38">
        <v>6500240</v>
      </c>
      <c r="H50" s="38">
        <v>3601774.6328358105</v>
      </c>
      <c r="I50" s="38">
        <v>1708012.0576999998</v>
      </c>
      <c r="J50" s="38">
        <v>53754.553400000004</v>
      </c>
      <c r="K50" s="38">
        <v>1947517.1285358109</v>
      </c>
      <c r="L50" s="38">
        <v>827694.77962771966</v>
      </c>
      <c r="M50" s="38">
        <v>1901542.81</v>
      </c>
      <c r="N50" s="38">
        <v>784621.28730000008</v>
      </c>
      <c r="O50" s="38">
        <v>242528.08609999996</v>
      </c>
      <c r="P50" s="38">
        <v>1359449.6088</v>
      </c>
      <c r="Q50" s="38">
        <v>577766.08374000003</v>
      </c>
      <c r="R50" s="38">
        <v>207116.21000000002</v>
      </c>
      <c r="S50" s="38">
        <v>88024.389250000022</v>
      </c>
      <c r="T50" s="38">
        <v>1493485.2526177196</v>
      </c>
      <c r="U50" s="38">
        <v>1209723.054620353</v>
      </c>
    </row>
    <row r="51" spans="3:21">
      <c r="C51">
        <v>2015</v>
      </c>
      <c r="D51" s="38">
        <v>28952.809999999998</v>
      </c>
      <c r="E51" s="38">
        <v>28952809.999999996</v>
      </c>
      <c r="F51" s="38">
        <v>15395631.956599999</v>
      </c>
      <c r="G51" s="38">
        <v>7289100</v>
      </c>
      <c r="H51" s="38">
        <v>4038213.4350641891</v>
      </c>
      <c r="I51" s="38">
        <v>1786976.7239999999</v>
      </c>
      <c r="J51" s="38">
        <v>72482.577999999994</v>
      </c>
      <c r="K51" s="38">
        <v>2323719.2890641894</v>
      </c>
      <c r="L51" s="38">
        <v>987580.69785228046</v>
      </c>
      <c r="M51" s="38">
        <v>1883677.9200000004</v>
      </c>
      <c r="N51" s="38">
        <v>730072.86180000007</v>
      </c>
      <c r="O51" s="38">
        <v>265240.25020000001</v>
      </c>
      <c r="P51" s="38">
        <v>1418845.3084000004</v>
      </c>
      <c r="Q51" s="38">
        <v>603009.25607000012</v>
      </c>
      <c r="R51" s="38">
        <v>203613</v>
      </c>
      <c r="S51" s="38">
        <v>86535.524999999994</v>
      </c>
      <c r="T51" s="38">
        <v>1677125.4789222805</v>
      </c>
      <c r="U51" s="38">
        <v>1358471.6379270472</v>
      </c>
    </row>
    <row r="52" spans="3:21">
      <c r="C52">
        <v>2016</v>
      </c>
      <c r="D52" s="38">
        <v>30989.25</v>
      </c>
      <c r="E52" s="38">
        <v>30989250</v>
      </c>
      <c r="F52" s="38">
        <v>17428368.061100002</v>
      </c>
      <c r="G52" s="38">
        <v>7425139.9999999991</v>
      </c>
      <c r="H52" s="38">
        <v>4114740</v>
      </c>
      <c r="I52" s="38">
        <v>1734721.9293</v>
      </c>
      <c r="J52" s="38">
        <v>74084.656600000002</v>
      </c>
      <c r="K52" s="38">
        <v>2454102.7272999999</v>
      </c>
      <c r="L52" s="38">
        <v>1042993.6591025</v>
      </c>
      <c r="M52" s="38">
        <v>1876619.6300000001</v>
      </c>
      <c r="N52" s="38">
        <v>733445.6320000001</v>
      </c>
      <c r="O52" s="38">
        <v>158795.74380000003</v>
      </c>
      <c r="P52" s="38">
        <v>1301969.7418000002</v>
      </c>
      <c r="Q52" s="38">
        <v>553337.14026500005</v>
      </c>
      <c r="R52" s="38">
        <v>203714</v>
      </c>
      <c r="S52" s="38">
        <v>86578.45</v>
      </c>
      <c r="T52" s="38">
        <v>1682909.2493675</v>
      </c>
      <c r="U52" s="38">
        <v>1363156.491987675</v>
      </c>
    </row>
    <row r="53" spans="3:21">
      <c r="C53">
        <v>2017</v>
      </c>
      <c r="D53" s="38">
        <v>34001.29</v>
      </c>
      <c r="E53" s="38">
        <v>34001290</v>
      </c>
      <c r="F53" s="38">
        <v>19216054.378799997</v>
      </c>
      <c r="G53" s="38">
        <v>8401830</v>
      </c>
      <c r="H53" s="38">
        <v>4650690</v>
      </c>
      <c r="I53" s="38">
        <v>1826330.9238</v>
      </c>
      <c r="J53" s="38">
        <v>71249.956200000001</v>
      </c>
      <c r="K53" s="38">
        <v>2895609.0323999999</v>
      </c>
      <c r="L53" s="38">
        <v>1230633.83877</v>
      </c>
      <c r="M53" s="38">
        <v>1843435.6799999997</v>
      </c>
      <c r="N53" s="38">
        <v>678516.11230000004</v>
      </c>
      <c r="O53" s="38">
        <v>323428.98420000001</v>
      </c>
      <c r="P53" s="38">
        <v>1488348.5518999996</v>
      </c>
      <c r="Q53" s="38">
        <v>632548.1345574999</v>
      </c>
      <c r="R53" s="38">
        <v>217267</v>
      </c>
      <c r="S53" s="38">
        <v>92338.475000000006</v>
      </c>
      <c r="T53" s="38">
        <v>1955520.4483274999</v>
      </c>
      <c r="U53" s="38">
        <v>1583971.563145275</v>
      </c>
    </row>
    <row r="54" spans="3:21">
      <c r="C54">
        <v>2018</v>
      </c>
      <c r="D54" s="38">
        <v>35684.095600000001</v>
      </c>
      <c r="E54" s="38">
        <v>35684095.600000001</v>
      </c>
      <c r="F54" s="38">
        <v>21384178.339399993</v>
      </c>
      <c r="G54" s="38">
        <v>7976380</v>
      </c>
      <c r="H54" s="38">
        <v>4414510</v>
      </c>
      <c r="I54" s="38">
        <v>1936248.3058000002</v>
      </c>
      <c r="J54" s="38">
        <v>72189.7353</v>
      </c>
      <c r="K54" s="38">
        <v>2550451.4294999996</v>
      </c>
      <c r="L54" s="38">
        <v>1083941.8575374999</v>
      </c>
      <c r="M54" s="38">
        <v>1782451.34</v>
      </c>
      <c r="N54" s="38">
        <v>705446.27379999997</v>
      </c>
      <c r="O54" s="38">
        <v>209173.89139999999</v>
      </c>
      <c r="P54" s="38">
        <v>1286178.9576000003</v>
      </c>
      <c r="Q54" s="38">
        <v>546626.05698000011</v>
      </c>
      <c r="R54" s="38">
        <v>265352</v>
      </c>
      <c r="S54" s="38">
        <v>112774.6</v>
      </c>
      <c r="T54" s="38">
        <v>1743342.5145175001</v>
      </c>
      <c r="U54" s="38">
        <v>1412107.436759175</v>
      </c>
    </row>
    <row r="55" spans="3:21">
      <c r="C55">
        <v>2019</v>
      </c>
      <c r="D55" s="38">
        <v>35843</v>
      </c>
      <c r="E55" s="38">
        <v>35843000</v>
      </c>
      <c r="F55" s="38">
        <v>21720732.765799999</v>
      </c>
      <c r="G55" s="38">
        <v>7824949.9999999991</v>
      </c>
      <c r="H55" s="38">
        <v>4523230.0000000009</v>
      </c>
      <c r="I55" s="38">
        <v>1821236.0169999998</v>
      </c>
      <c r="J55" s="38">
        <v>166859.2579</v>
      </c>
      <c r="K55" s="38">
        <v>2868853.240900001</v>
      </c>
      <c r="L55" s="38">
        <v>1219262.6273825003</v>
      </c>
      <c r="M55" s="38">
        <v>1717639.82</v>
      </c>
      <c r="N55" s="38">
        <v>678075.51040000003</v>
      </c>
      <c r="O55" s="38">
        <v>179492.47600000002</v>
      </c>
      <c r="P55" s="38">
        <v>1219056.7856000001</v>
      </c>
      <c r="Q55" s="38">
        <v>518099.13388000004</v>
      </c>
      <c r="R55" s="38">
        <v>225935.08150000032</v>
      </c>
      <c r="S55" s="38">
        <v>96022.409637500139</v>
      </c>
      <c r="T55" s="38">
        <v>1833384.1709000005</v>
      </c>
      <c r="U55" s="38">
        <v>1485041.1784290005</v>
      </c>
    </row>
    <row r="56" spans="3:21">
      <c r="C56">
        <v>2020</v>
      </c>
      <c r="D56" s="38">
        <v>32909.439580644685</v>
      </c>
      <c r="E56" s="38">
        <v>32909439.580644686</v>
      </c>
      <c r="F56" s="38">
        <v>20082873.555799998</v>
      </c>
      <c r="G56" s="38">
        <v>7206519.9999999991</v>
      </c>
      <c r="H56" s="38">
        <v>4075540</v>
      </c>
      <c r="I56" s="38">
        <v>1720208.7068</v>
      </c>
      <c r="J56" s="38">
        <v>58965.364699999991</v>
      </c>
      <c r="K56" s="38">
        <v>2414296.6579</v>
      </c>
      <c r="L56" s="38">
        <v>1026076.0796075</v>
      </c>
      <c r="M56" s="38">
        <v>1434913.61</v>
      </c>
      <c r="N56" s="38">
        <v>576487.91520000005</v>
      </c>
      <c r="O56" s="38">
        <v>314618.36219999997</v>
      </c>
      <c r="P56" s="38">
        <v>1173044.057</v>
      </c>
      <c r="Q56" s="38">
        <v>498543.72422500001</v>
      </c>
      <c r="R56" s="38">
        <v>220527.37162500015</v>
      </c>
      <c r="S56" s="38">
        <v>93724.132940625059</v>
      </c>
      <c r="T56" s="38">
        <v>1618343.9367731251</v>
      </c>
      <c r="U56" s="38">
        <v>1310858.5887862314</v>
      </c>
    </row>
    <row r="57" spans="3:21">
      <c r="C57">
        <v>2021</v>
      </c>
      <c r="D57" s="38">
        <v>37146.273371939242</v>
      </c>
      <c r="E57" s="38">
        <v>37146273.371939197</v>
      </c>
      <c r="F57" s="38">
        <v>22731275.322999999</v>
      </c>
      <c r="G57" s="38">
        <v>8067389.9999999991</v>
      </c>
      <c r="H57" s="38">
        <v>4463160</v>
      </c>
      <c r="I57" s="38">
        <v>1530993.7021000001</v>
      </c>
      <c r="J57" s="38">
        <v>119203.48819999998</v>
      </c>
      <c r="K57" s="38">
        <v>3051369.7860999997</v>
      </c>
      <c r="L57" s="38">
        <v>1296832.1590924999</v>
      </c>
      <c r="M57" s="38">
        <v>1589183.96</v>
      </c>
      <c r="N57" s="38">
        <v>597013.02729999996</v>
      </c>
      <c r="O57" s="38">
        <v>398741.00730000006</v>
      </c>
      <c r="P57" s="38">
        <v>1390911.94</v>
      </c>
      <c r="Q57" s="38">
        <v>591137.57449999999</v>
      </c>
      <c r="R57" s="38">
        <v>217071.00724375009</v>
      </c>
      <c r="S57" s="38">
        <v>92255.178078593788</v>
      </c>
      <c r="T57" s="38">
        <v>1980224.9116710937</v>
      </c>
      <c r="U57" s="38">
        <v>1603982.1784535861</v>
      </c>
    </row>
    <row r="58" spans="3:21">
      <c r="J58">
        <f>J57*0.425</f>
        <v>50661.482484999986</v>
      </c>
    </row>
    <row r="59" spans="3:21">
      <c r="C59" s="1" t="s">
        <v>64</v>
      </c>
      <c r="E59">
        <f>(E57-G57)*1.04</f>
        <v>30242038.706816766</v>
      </c>
      <c r="I59">
        <f>I57*0.425</f>
        <v>650672.32339250005</v>
      </c>
      <c r="M59">
        <f>M57*0.425+S57</f>
        <v>767658.36107859376</v>
      </c>
      <c r="O59">
        <f>O57*0.425</f>
        <v>169464.92810250001</v>
      </c>
      <c r="T59" s="38">
        <f>T57-U57</f>
        <v>376242.7332175076</v>
      </c>
      <c r="U59" s="38">
        <f>U57-'Material Output'!D66</f>
        <v>1375732.622720174</v>
      </c>
    </row>
    <row r="60" spans="3:21">
      <c r="C60" t="s">
        <v>44</v>
      </c>
    </row>
    <row r="61" spans="3:21">
      <c r="C61" t="s">
        <v>45</v>
      </c>
    </row>
    <row r="62" spans="3:21">
      <c r="C62" t="s">
        <v>46</v>
      </c>
    </row>
    <row r="63" spans="3:21">
      <c r="C63" t="s">
        <v>47</v>
      </c>
    </row>
    <row r="64" spans="3:21">
      <c r="C64" t="s">
        <v>65</v>
      </c>
    </row>
    <row r="66" spans="2:25">
      <c r="C66" s="1" t="s">
        <v>66</v>
      </c>
      <c r="Y66" s="1"/>
    </row>
    <row r="67" spans="2:25">
      <c r="C67" t="s">
        <v>67</v>
      </c>
      <c r="G67" t="s">
        <v>68</v>
      </c>
    </row>
    <row r="68" spans="2:25">
      <c r="C68" t="s">
        <v>69</v>
      </c>
      <c r="G68" t="s">
        <v>70</v>
      </c>
    </row>
    <row r="69" spans="2:25">
      <c r="C69" t="s">
        <v>71</v>
      </c>
    </row>
    <row r="70" spans="2:25">
      <c r="C70" t="s">
        <v>72</v>
      </c>
    </row>
    <row r="71" spans="2:25">
      <c r="C71" t="s">
        <v>73</v>
      </c>
    </row>
    <row r="73" spans="2:25">
      <c r="B73" s="1" t="s">
        <v>74</v>
      </c>
    </row>
    <row r="74" spans="2:25">
      <c r="C74" t="s">
        <v>75</v>
      </c>
    </row>
    <row r="75" spans="2:25">
      <c r="C75">
        <v>1992</v>
      </c>
      <c r="D75" s="38">
        <v>1387</v>
      </c>
      <c r="E75" t="s">
        <v>76</v>
      </c>
      <c r="F75" s="38">
        <v>1387000</v>
      </c>
      <c r="G75" t="s">
        <v>77</v>
      </c>
      <c r="H75" s="38">
        <f t="shared" ref="H75:H104" si="0">F75*2.4</f>
        <v>3328800</v>
      </c>
      <c r="I75" t="s">
        <v>78</v>
      </c>
      <c r="K75" t="s">
        <v>79</v>
      </c>
      <c r="L75" s="38">
        <v>1000000</v>
      </c>
      <c r="M75" t="s">
        <v>78</v>
      </c>
      <c r="N75">
        <v>61.728395061728392</v>
      </c>
      <c r="P75" t="s">
        <v>80</v>
      </c>
    </row>
    <row r="76" spans="2:25">
      <c r="C76">
        <v>1993</v>
      </c>
      <c r="D76" s="38">
        <v>1631</v>
      </c>
      <c r="E76" t="s">
        <v>76</v>
      </c>
      <c r="F76" s="38">
        <v>1631000</v>
      </c>
      <c r="G76" t="s">
        <v>77</v>
      </c>
      <c r="H76" s="38">
        <f t="shared" si="0"/>
        <v>3914400</v>
      </c>
      <c r="I76" t="s">
        <v>78</v>
      </c>
      <c r="K76" t="s">
        <v>81</v>
      </c>
      <c r="L76" s="38">
        <v>500000</v>
      </c>
      <c r="M76" t="s">
        <v>78</v>
      </c>
      <c r="N76">
        <v>30.864197530864196</v>
      </c>
      <c r="P76" t="s">
        <v>82</v>
      </c>
    </row>
    <row r="77" spans="2:25">
      <c r="C77">
        <v>1994</v>
      </c>
      <c r="D77" s="38">
        <v>1910</v>
      </c>
      <c r="E77" t="s">
        <v>76</v>
      </c>
      <c r="F77" s="38">
        <v>1910000</v>
      </c>
      <c r="G77" t="s">
        <v>77</v>
      </c>
      <c r="H77" s="38">
        <f t="shared" si="0"/>
        <v>4584000</v>
      </c>
      <c r="I77" t="s">
        <v>78</v>
      </c>
      <c r="K77" t="s">
        <v>83</v>
      </c>
      <c r="L77" s="38">
        <v>120000</v>
      </c>
      <c r="M77" t="s">
        <v>78</v>
      </c>
      <c r="N77">
        <v>7.4074074074074066</v>
      </c>
      <c r="P77" t="s">
        <v>84</v>
      </c>
    </row>
    <row r="78" spans="2:25">
      <c r="C78">
        <v>1995</v>
      </c>
      <c r="D78" s="38">
        <v>2116.0149999999999</v>
      </c>
      <c r="E78" t="s">
        <v>76</v>
      </c>
      <c r="F78" s="38">
        <v>2116015</v>
      </c>
      <c r="G78" t="s">
        <v>77</v>
      </c>
      <c r="H78" s="38">
        <f t="shared" si="0"/>
        <v>5078436</v>
      </c>
      <c r="I78" t="s">
        <v>78</v>
      </c>
      <c r="L78" s="38">
        <v>1620000</v>
      </c>
    </row>
    <row r="79" spans="2:25">
      <c r="C79">
        <v>1996</v>
      </c>
      <c r="D79" s="38">
        <v>2227.2689999999998</v>
      </c>
      <c r="E79" t="s">
        <v>76</v>
      </c>
      <c r="F79" s="38">
        <v>2227269</v>
      </c>
      <c r="G79" t="s">
        <v>77</v>
      </c>
      <c r="H79" s="38">
        <f t="shared" si="0"/>
        <v>5345445.5999999996</v>
      </c>
      <c r="I79" t="s">
        <v>78</v>
      </c>
    </row>
    <row r="80" spans="2:25">
      <c r="C80">
        <v>1997</v>
      </c>
      <c r="D80" s="38">
        <v>2282.3139999999999</v>
      </c>
      <c r="E80" t="s">
        <v>76</v>
      </c>
      <c r="F80" s="38">
        <v>2282314</v>
      </c>
      <c r="G80" t="s">
        <v>77</v>
      </c>
      <c r="H80" s="38">
        <f t="shared" si="0"/>
        <v>5477553.5999999996</v>
      </c>
      <c r="I80" t="s">
        <v>78</v>
      </c>
      <c r="K80" t="s">
        <v>85</v>
      </c>
    </row>
    <row r="81" spans="3:13">
      <c r="C81">
        <v>1998</v>
      </c>
      <c r="D81" s="38">
        <v>2212.0639999999999</v>
      </c>
      <c r="E81" t="s">
        <v>76</v>
      </c>
      <c r="F81" s="38">
        <v>2212064</v>
      </c>
      <c r="G81" t="s">
        <v>77</v>
      </c>
      <c r="H81" s="38">
        <f t="shared" si="0"/>
        <v>5308953.5999999996</v>
      </c>
      <c r="I81" t="s">
        <v>78</v>
      </c>
      <c r="K81" t="s">
        <v>86</v>
      </c>
    </row>
    <row r="82" spans="3:13">
      <c r="C82">
        <v>1999</v>
      </c>
      <c r="D82" s="38">
        <v>2476.998</v>
      </c>
      <c r="E82" t="s">
        <v>76</v>
      </c>
      <c r="F82" s="38">
        <v>2476998</v>
      </c>
      <c r="G82" t="s">
        <v>77</v>
      </c>
      <c r="H82" s="38">
        <f t="shared" si="0"/>
        <v>5944795.2000000002</v>
      </c>
      <c r="I82" t="s">
        <v>78</v>
      </c>
      <c r="K82" t="s">
        <v>87</v>
      </c>
    </row>
    <row r="83" spans="3:13">
      <c r="C83">
        <v>2000</v>
      </c>
      <c r="D83" s="38">
        <v>2457.0160000000001</v>
      </c>
      <c r="E83" t="s">
        <v>76</v>
      </c>
      <c r="F83" s="38">
        <v>2457016</v>
      </c>
      <c r="G83" t="s">
        <v>77</v>
      </c>
      <c r="H83" s="38">
        <f t="shared" si="0"/>
        <v>5896838.3999999994</v>
      </c>
      <c r="I83" t="s">
        <v>78</v>
      </c>
      <c r="K83" t="s">
        <v>88</v>
      </c>
    </row>
    <row r="84" spans="3:13">
      <c r="C84">
        <v>2001</v>
      </c>
      <c r="D84" s="38">
        <v>2519.357</v>
      </c>
      <c r="E84" t="s">
        <v>76</v>
      </c>
      <c r="F84" s="38">
        <v>2519357</v>
      </c>
      <c r="G84" t="s">
        <v>77</v>
      </c>
      <c r="H84" s="38">
        <f t="shared" si="0"/>
        <v>6046456.7999999998</v>
      </c>
      <c r="I84" t="s">
        <v>78</v>
      </c>
    </row>
    <row r="85" spans="3:13">
      <c r="C85">
        <v>2002</v>
      </c>
      <c r="D85" s="38">
        <v>2840.297</v>
      </c>
      <c r="E85" t="s">
        <v>76</v>
      </c>
      <c r="F85" s="38">
        <v>2840297</v>
      </c>
      <c r="G85" t="s">
        <v>77</v>
      </c>
      <c r="H85" s="38">
        <f t="shared" si="0"/>
        <v>6816712.7999999998</v>
      </c>
      <c r="I85" t="s">
        <v>78</v>
      </c>
      <c r="K85" t="s">
        <v>89</v>
      </c>
    </row>
    <row r="86" spans="3:13">
      <c r="C86">
        <v>2003</v>
      </c>
      <c r="D86" s="38">
        <v>3167.201</v>
      </c>
      <c r="E86" t="s">
        <v>76</v>
      </c>
      <c r="F86" s="38">
        <v>3167201</v>
      </c>
      <c r="G86" t="s">
        <v>77</v>
      </c>
      <c r="H86" s="38">
        <f t="shared" si="0"/>
        <v>7601282.3999999994</v>
      </c>
      <c r="I86" t="s">
        <v>78</v>
      </c>
      <c r="K86" s="38">
        <v>50000000</v>
      </c>
      <c r="L86" t="s">
        <v>78</v>
      </c>
    </row>
    <row r="87" spans="3:13">
      <c r="C87">
        <v>2004</v>
      </c>
      <c r="D87" s="38">
        <v>3533.68</v>
      </c>
      <c r="E87" t="s">
        <v>76</v>
      </c>
      <c r="F87" s="38">
        <v>3533680</v>
      </c>
      <c r="G87" t="s">
        <v>77</v>
      </c>
      <c r="H87" s="38">
        <f t="shared" si="0"/>
        <v>8480832</v>
      </c>
      <c r="I87" t="s">
        <v>78</v>
      </c>
      <c r="K87" s="38">
        <v>32500000</v>
      </c>
      <c r="L87" t="s">
        <v>78</v>
      </c>
      <c r="M87" t="s">
        <v>90</v>
      </c>
    </row>
    <row r="88" spans="3:13">
      <c r="C88">
        <v>2005</v>
      </c>
      <c r="D88" s="38">
        <v>3665.6219999999998</v>
      </c>
      <c r="E88" t="s">
        <v>76</v>
      </c>
      <c r="F88" s="38">
        <v>3665622</v>
      </c>
      <c r="G88" t="s">
        <v>77</v>
      </c>
      <c r="H88" s="38">
        <f t="shared" si="0"/>
        <v>8797492.7999999989</v>
      </c>
      <c r="I88" t="s">
        <v>78</v>
      </c>
      <c r="K88" s="38">
        <v>17500000</v>
      </c>
      <c r="L88" t="s">
        <v>91</v>
      </c>
      <c r="M88" t="s">
        <v>92</v>
      </c>
    </row>
    <row r="89" spans="3:13">
      <c r="C89">
        <v>2006</v>
      </c>
      <c r="D89" s="38">
        <v>3592.078</v>
      </c>
      <c r="E89" t="s">
        <v>76</v>
      </c>
      <c r="F89" s="38">
        <v>3592078</v>
      </c>
      <c r="G89" t="s">
        <v>77</v>
      </c>
      <c r="H89" s="38">
        <f t="shared" si="0"/>
        <v>8620987.1999999993</v>
      </c>
      <c r="I89" t="s">
        <v>78</v>
      </c>
    </row>
    <row r="90" spans="3:13">
      <c r="C90">
        <v>2007</v>
      </c>
      <c r="D90" s="38">
        <v>3775.7739999999999</v>
      </c>
      <c r="E90" t="s">
        <v>76</v>
      </c>
      <c r="F90" s="38">
        <v>3775774</v>
      </c>
      <c r="G90" t="s">
        <v>77</v>
      </c>
      <c r="H90" s="38">
        <f t="shared" si="0"/>
        <v>9061857.5999999996</v>
      </c>
      <c r="I90" t="s">
        <v>78</v>
      </c>
      <c r="K90" t="s">
        <v>93</v>
      </c>
    </row>
    <row r="91" spans="3:13">
      <c r="C91">
        <v>2008</v>
      </c>
      <c r="D91" s="38">
        <v>3491.7260000000001</v>
      </c>
      <c r="E91" t="s">
        <v>76</v>
      </c>
      <c r="F91" s="38">
        <v>3491726</v>
      </c>
      <c r="G91" t="s">
        <v>77</v>
      </c>
      <c r="H91" s="38">
        <f t="shared" si="0"/>
        <v>8380142.3999999994</v>
      </c>
      <c r="I91" t="s">
        <v>78</v>
      </c>
    </row>
    <row r="92" spans="3:13">
      <c r="C92">
        <v>2009</v>
      </c>
      <c r="D92" s="38">
        <v>2737.2089999999998</v>
      </c>
      <c r="E92" t="s">
        <v>76</v>
      </c>
      <c r="F92" s="38">
        <v>2737209</v>
      </c>
      <c r="G92" t="s">
        <v>77</v>
      </c>
      <c r="H92" s="38">
        <f t="shared" si="0"/>
        <v>6569301.5999999996</v>
      </c>
      <c r="I92" t="s">
        <v>78</v>
      </c>
      <c r="K92" s="1" t="s">
        <v>66</v>
      </c>
    </row>
    <row r="93" spans="3:13">
      <c r="C93">
        <v>2010</v>
      </c>
      <c r="D93" s="38">
        <v>2729.2130000000002</v>
      </c>
      <c r="E93" t="s">
        <v>76</v>
      </c>
      <c r="F93" s="38">
        <v>2729213</v>
      </c>
      <c r="G93" t="s">
        <v>77</v>
      </c>
      <c r="H93" s="38">
        <f t="shared" si="0"/>
        <v>6550111.2000000002</v>
      </c>
      <c r="I93" t="s">
        <v>78</v>
      </c>
      <c r="K93" t="s">
        <v>94</v>
      </c>
    </row>
    <row r="94" spans="3:13">
      <c r="C94">
        <v>2011</v>
      </c>
      <c r="D94" s="38">
        <v>2671.0059999999999</v>
      </c>
      <c r="E94" t="s">
        <v>76</v>
      </c>
      <c r="F94" s="38">
        <v>2671006</v>
      </c>
      <c r="G94" t="s">
        <v>77</v>
      </c>
      <c r="H94" s="38">
        <f t="shared" si="0"/>
        <v>6410414.3999999994</v>
      </c>
      <c r="I94" t="s">
        <v>78</v>
      </c>
      <c r="K94" s="173" t="s">
        <v>95</v>
      </c>
    </row>
    <row r="95" spans="3:13">
      <c r="C95">
        <v>2012</v>
      </c>
      <c r="D95" s="38">
        <v>2870.444</v>
      </c>
      <c r="E95" t="s">
        <v>76</v>
      </c>
      <c r="F95" s="38">
        <v>2870444</v>
      </c>
      <c r="G95" t="s">
        <v>77</v>
      </c>
      <c r="H95" s="38">
        <f t="shared" si="0"/>
        <v>6889065.5999999996</v>
      </c>
      <c r="I95" t="s">
        <v>78</v>
      </c>
      <c r="K95" t="s">
        <v>96</v>
      </c>
    </row>
    <row r="96" spans="3:13">
      <c r="C96">
        <v>2013</v>
      </c>
      <c r="D96" s="38">
        <v>3185.59</v>
      </c>
      <c r="E96" t="s">
        <v>76</v>
      </c>
      <c r="F96" s="38">
        <v>3185590</v>
      </c>
      <c r="G96" t="s">
        <v>77</v>
      </c>
      <c r="H96" s="38">
        <f t="shared" si="0"/>
        <v>7645416</v>
      </c>
      <c r="I96" t="s">
        <v>78</v>
      </c>
      <c r="K96" s="173" t="s">
        <v>97</v>
      </c>
    </row>
    <row r="97" spans="3:9">
      <c r="C97">
        <v>2014</v>
      </c>
      <c r="D97" s="38">
        <v>3724.9189999999999</v>
      </c>
      <c r="E97" t="s">
        <v>76</v>
      </c>
      <c r="F97" s="38">
        <v>3724919</v>
      </c>
      <c r="G97" t="s">
        <v>77</v>
      </c>
      <c r="H97" s="38">
        <f t="shared" si="0"/>
        <v>8939805.5999999996</v>
      </c>
      <c r="I97" t="s">
        <v>78</v>
      </c>
    </row>
    <row r="98" spans="3:9">
      <c r="C98">
        <v>2015</v>
      </c>
      <c r="D98" s="38">
        <v>3940.8870000000002</v>
      </c>
      <c r="E98" t="s">
        <v>76</v>
      </c>
      <c r="F98" s="38">
        <v>3940887</v>
      </c>
      <c r="G98" t="s">
        <v>77</v>
      </c>
      <c r="H98" s="38">
        <f t="shared" si="0"/>
        <v>9458128.7999999989</v>
      </c>
      <c r="I98" t="s">
        <v>78</v>
      </c>
    </row>
    <row r="99" spans="3:9">
      <c r="C99">
        <v>2016</v>
      </c>
      <c r="D99" s="38">
        <v>4079.1640000000002</v>
      </c>
      <c r="E99" t="s">
        <v>76</v>
      </c>
      <c r="F99" s="38">
        <v>4079164</v>
      </c>
      <c r="G99" t="s">
        <v>77</v>
      </c>
      <c r="H99" s="38">
        <f t="shared" si="0"/>
        <v>9789993.5999999996</v>
      </c>
      <c r="I99" t="s">
        <v>78</v>
      </c>
    </row>
    <row r="100" spans="3:9">
      <c r="C100">
        <v>2017</v>
      </c>
      <c r="D100" s="38">
        <v>4181.1549999999997</v>
      </c>
      <c r="E100" t="s">
        <v>76</v>
      </c>
      <c r="F100" s="38">
        <v>4181154.9999999995</v>
      </c>
      <c r="G100" t="s">
        <v>77</v>
      </c>
      <c r="H100" s="38">
        <f t="shared" si="0"/>
        <v>10034771.999999998</v>
      </c>
      <c r="I100" t="s">
        <v>78</v>
      </c>
    </row>
    <row r="101" spans="3:9">
      <c r="C101">
        <v>2018</v>
      </c>
      <c r="D101" s="38">
        <v>4206.95</v>
      </c>
      <c r="E101" t="s">
        <v>76</v>
      </c>
      <c r="F101" s="38">
        <v>4206950</v>
      </c>
      <c r="G101" t="s">
        <v>77</v>
      </c>
      <c r="H101" s="38">
        <f t="shared" si="0"/>
        <v>10096680</v>
      </c>
      <c r="I101" t="s">
        <v>78</v>
      </c>
    </row>
    <row r="102" spans="3:9">
      <c r="C102">
        <v>2019</v>
      </c>
      <c r="D102" s="38">
        <v>4258.3509999999997</v>
      </c>
      <c r="E102" t="s">
        <v>76</v>
      </c>
      <c r="F102" s="38">
        <v>4258351</v>
      </c>
      <c r="G102" t="s">
        <v>77</v>
      </c>
      <c r="H102" s="38">
        <f t="shared" si="0"/>
        <v>10220042.4</v>
      </c>
      <c r="I102" t="s">
        <v>78</v>
      </c>
    </row>
    <row r="103" spans="3:9">
      <c r="C103">
        <v>2020</v>
      </c>
      <c r="D103" s="38">
        <v>4045.5039999999999</v>
      </c>
      <c r="E103" t="s">
        <v>76</v>
      </c>
      <c r="F103" s="38">
        <v>4045504</v>
      </c>
      <c r="G103" t="s">
        <v>77</v>
      </c>
      <c r="H103" s="38">
        <f t="shared" si="0"/>
        <v>9709209.5999999996</v>
      </c>
      <c r="I103" t="s">
        <v>78</v>
      </c>
    </row>
    <row r="104" spans="3:9">
      <c r="C104">
        <v>2021</v>
      </c>
      <c r="D104" s="38">
        <v>4522.2610000000004</v>
      </c>
      <c r="E104" t="s">
        <v>76</v>
      </c>
      <c r="F104" s="38">
        <v>4522261</v>
      </c>
      <c r="G104" t="s">
        <v>77</v>
      </c>
      <c r="H104" s="38">
        <f t="shared" si="0"/>
        <v>10853426.4</v>
      </c>
      <c r="I104" t="s">
        <v>78</v>
      </c>
    </row>
    <row r="106" spans="3:9">
      <c r="C106" s="1" t="s">
        <v>64</v>
      </c>
    </row>
    <row r="107" spans="3:9">
      <c r="C107" t="s">
        <v>98</v>
      </c>
    </row>
    <row r="109" spans="3:9">
      <c r="C109" s="1" t="s">
        <v>66</v>
      </c>
    </row>
    <row r="110" spans="3:9">
      <c r="C110" t="s">
        <v>99</v>
      </c>
    </row>
    <row r="111" spans="3:9">
      <c r="C111" s="173" t="s">
        <v>100</v>
      </c>
    </row>
    <row r="112" spans="3:9">
      <c r="C112" t="s">
        <v>101</v>
      </c>
    </row>
    <row r="116" spans="2:2">
      <c r="B116" s="1" t="s">
        <v>102</v>
      </c>
    </row>
    <row r="118" spans="2:2">
      <c r="B118" s="1" t="s">
        <v>103</v>
      </c>
    </row>
    <row r="119" spans="2:2">
      <c r="B119" t="s">
        <v>104</v>
      </c>
    </row>
    <row r="120" spans="2:2">
      <c r="B120" t="s">
        <v>105</v>
      </c>
    </row>
    <row r="121" spans="2:2">
      <c r="B121" t="s">
        <v>106</v>
      </c>
    </row>
    <row r="122" spans="2:2">
      <c r="B122" t="s">
        <v>107</v>
      </c>
    </row>
    <row r="123" spans="2:2">
      <c r="B123" t="s">
        <v>108</v>
      </c>
    </row>
    <row r="124" spans="2:2">
      <c r="B124" t="s">
        <v>109</v>
      </c>
    </row>
    <row r="125" spans="2:2">
      <c r="B125" t="s">
        <v>110</v>
      </c>
    </row>
    <row r="126" spans="2:2">
      <c r="B126" t="s">
        <v>111</v>
      </c>
    </row>
    <row r="127" spans="2:2">
      <c r="B127" t="s">
        <v>112</v>
      </c>
    </row>
    <row r="128" spans="2:2">
      <c r="B128" t="s">
        <v>113</v>
      </c>
    </row>
    <row r="129" spans="2:2">
      <c r="B129" t="s">
        <v>114</v>
      </c>
    </row>
    <row r="130" spans="2:2">
      <c r="B130" t="s">
        <v>115</v>
      </c>
    </row>
    <row r="132" spans="2:2">
      <c r="B132" s="1" t="s">
        <v>116</v>
      </c>
    </row>
    <row r="133" spans="2:2">
      <c r="B133" t="s">
        <v>117</v>
      </c>
    </row>
    <row r="134" spans="2:2">
      <c r="B134" t="s">
        <v>118</v>
      </c>
    </row>
    <row r="135" spans="2:2">
      <c r="B135" t="s">
        <v>119</v>
      </c>
    </row>
    <row r="136" spans="2:2">
      <c r="B136" t="s">
        <v>120</v>
      </c>
    </row>
    <row r="138" spans="2:2">
      <c r="B138" s="1" t="s">
        <v>66</v>
      </c>
    </row>
    <row r="139" spans="2:2">
      <c r="B139" t="s">
        <v>121</v>
      </c>
    </row>
    <row r="140" spans="2:2">
      <c r="B140" t="s">
        <v>122</v>
      </c>
    </row>
  </sheetData>
  <mergeCells count="85">
    <mergeCell ref="U15:V15"/>
    <mergeCell ref="C16:D16"/>
    <mergeCell ref="E16:F16"/>
    <mergeCell ref="Q16:R16"/>
    <mergeCell ref="Q17:R17"/>
    <mergeCell ref="M17:N17"/>
    <mergeCell ref="O17:P17"/>
    <mergeCell ref="S17:T17"/>
    <mergeCell ref="S16:T16"/>
    <mergeCell ref="Q15:R15"/>
    <mergeCell ref="K16:L16"/>
    <mergeCell ref="M16:N16"/>
    <mergeCell ref="O16:P16"/>
    <mergeCell ref="U17:V17"/>
    <mergeCell ref="U16:V16"/>
    <mergeCell ref="E15:F15"/>
    <mergeCell ref="B2:L2"/>
    <mergeCell ref="B3:L3"/>
    <mergeCell ref="B4:L4"/>
    <mergeCell ref="B5:L5"/>
    <mergeCell ref="B6:L6"/>
    <mergeCell ref="S10:T10"/>
    <mergeCell ref="C17:D17"/>
    <mergeCell ref="E17:F17"/>
    <mergeCell ref="G17:H17"/>
    <mergeCell ref="I17:J17"/>
    <mergeCell ref="K17:L17"/>
    <mergeCell ref="S15:T15"/>
    <mergeCell ref="M15:N15"/>
    <mergeCell ref="O15:P15"/>
    <mergeCell ref="C14:D14"/>
    <mergeCell ref="E14:F14"/>
    <mergeCell ref="G14:H14"/>
    <mergeCell ref="I14:J14"/>
    <mergeCell ref="K14:L14"/>
    <mergeCell ref="M14:N14"/>
    <mergeCell ref="C15:D15"/>
    <mergeCell ref="G15:H15"/>
    <mergeCell ref="I15:J15"/>
    <mergeCell ref="K15:L15"/>
    <mergeCell ref="G16:H16"/>
    <mergeCell ref="I16:J16"/>
    <mergeCell ref="M13:N13"/>
    <mergeCell ref="O13:P13"/>
    <mergeCell ref="S13:T13"/>
    <mergeCell ref="U13:V13"/>
    <mergeCell ref="O14:P14"/>
    <mergeCell ref="S14:T14"/>
    <mergeCell ref="U14:V14"/>
    <mergeCell ref="Q13:R13"/>
    <mergeCell ref="Q14:R14"/>
    <mergeCell ref="C13:D13"/>
    <mergeCell ref="E13:F13"/>
    <mergeCell ref="G13:H13"/>
    <mergeCell ref="I13:J13"/>
    <mergeCell ref="K13:L13"/>
    <mergeCell ref="S11:T11"/>
    <mergeCell ref="U11:V11"/>
    <mergeCell ref="C12:D12"/>
    <mergeCell ref="E12:F12"/>
    <mergeCell ref="G12:H12"/>
    <mergeCell ref="I12:J12"/>
    <mergeCell ref="K12:L12"/>
    <mergeCell ref="M12:N12"/>
    <mergeCell ref="O12:P12"/>
    <mergeCell ref="S12:T12"/>
    <mergeCell ref="U12:V12"/>
    <mergeCell ref="Q11:R11"/>
    <mergeCell ref="Q12:R12"/>
    <mergeCell ref="O10:P10"/>
    <mergeCell ref="Q10:R10"/>
    <mergeCell ref="U10:V10"/>
    <mergeCell ref="C11:D11"/>
    <mergeCell ref="E11:F11"/>
    <mergeCell ref="G11:H11"/>
    <mergeCell ref="I11:J11"/>
    <mergeCell ref="K11:L11"/>
    <mergeCell ref="M11:N11"/>
    <mergeCell ref="O11:P11"/>
    <mergeCell ref="C10:D10"/>
    <mergeCell ref="E10:F10"/>
    <mergeCell ref="G10:H10"/>
    <mergeCell ref="I10:J10"/>
    <mergeCell ref="K10:L10"/>
    <mergeCell ref="M10:N10"/>
  </mergeCells>
  <hyperlinks>
    <hyperlink ref="C111" r:id="rId1" xr:uid="{1421AD4E-F4C9-4A2D-9737-3064DF33F8C7}"/>
    <hyperlink ref="K96" r:id="rId2" location=":~:text=Typically%2C%20a%20mix%20is%20about,another%205%20to%208%20percent." xr:uid="{1B7DCEBF-6A0A-4379-93DF-67EB191D6827}"/>
    <hyperlink ref="K94" r:id="rId3" xr:uid="{82B28664-3CD1-4BC6-A9E4-187DDB2026F5}"/>
    <hyperlink ref="B3:L3" location="'Material Input'!B8" display="Material Input Estimations" xr:uid="{8ABD4B27-5B54-4239-8D61-1DFBC4B17A3E}"/>
    <hyperlink ref="B4:L4" location="'Material Input'!B19" display="Timber Supply Data" xr:uid="{1CD6DB02-62CE-4EF3-A9EA-3E7454128566}"/>
    <hyperlink ref="B5:L5" location="'Material Input'!B73" display="Concrete Supply Data" xr:uid="{83C9E40B-FAC3-4D8A-8401-2ACCB8D1AF0A}"/>
    <hyperlink ref="B6:L6" location="'Material Input'!B116" display="Steel Supply Data" xr:uid="{94836E1B-7357-4621-84B3-C5682BA6E3DF}"/>
  </hyperlinks>
  <pageMargins left="0.7" right="0.7" top="0.75" bottom="0.75" header="0.3" footer="0.3"/>
  <pageSetup paperSize="9" orientation="landscape" horizontalDpi="0" verticalDpi="0"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B5518A-5332-47FB-B433-6AD254F665B0}">
  <sheetPr>
    <tabColor theme="7"/>
  </sheetPr>
  <dimension ref="B2:X142"/>
  <sheetViews>
    <sheetView topLeftCell="A105" zoomScale="50" zoomScaleNormal="50" workbookViewId="0">
      <selection activeCell="K142" sqref="K142"/>
    </sheetView>
  </sheetViews>
  <sheetFormatPr defaultColWidth="8.6328125" defaultRowHeight="14.5"/>
  <cols>
    <col min="1" max="1" width="7.6328125" customWidth="1"/>
    <col min="2" max="2" width="15.6328125" customWidth="1"/>
    <col min="3" max="3" width="11.453125" customWidth="1"/>
    <col min="4" max="4" width="12.36328125" customWidth="1"/>
    <col min="5" max="5" width="11.36328125" customWidth="1"/>
    <col min="6" max="6" width="11" customWidth="1"/>
    <col min="7" max="7" width="11.36328125" customWidth="1"/>
    <col min="8" max="8" width="13.6328125" customWidth="1"/>
    <col min="9" max="9" width="12.453125" customWidth="1"/>
    <col min="10" max="10" width="11.36328125" customWidth="1"/>
    <col min="11" max="11" width="10.6328125" customWidth="1"/>
    <col min="12" max="12" width="10.453125" customWidth="1"/>
    <col min="16" max="16" width="14.36328125" customWidth="1"/>
    <col min="17" max="17" width="13" customWidth="1"/>
    <col min="18" max="18" width="11.453125" customWidth="1"/>
    <col min="19" max="19" width="12.36328125" customWidth="1"/>
    <col min="21" max="21" width="16.6328125" customWidth="1"/>
    <col min="22" max="22" width="16.453125" customWidth="1"/>
  </cols>
  <sheetData>
    <row r="2" spans="2:12">
      <c r="B2" s="190" t="s">
        <v>24</v>
      </c>
      <c r="C2" s="190"/>
      <c r="D2" s="190"/>
      <c r="E2" s="190"/>
      <c r="F2" s="190"/>
      <c r="G2" s="190"/>
      <c r="H2" s="190"/>
      <c r="I2" s="190"/>
      <c r="J2" s="190"/>
      <c r="K2" s="190"/>
      <c r="L2" s="190"/>
    </row>
    <row r="3" spans="2:12">
      <c r="B3" s="191" t="s">
        <v>123</v>
      </c>
      <c r="C3" s="191"/>
      <c r="D3" s="191"/>
      <c r="E3" s="191"/>
      <c r="F3" s="191"/>
      <c r="G3" s="191"/>
      <c r="H3" s="191"/>
      <c r="I3" s="191"/>
      <c r="J3" s="191"/>
      <c r="K3" s="191"/>
      <c r="L3" s="191"/>
    </row>
    <row r="4" spans="2:12">
      <c r="B4" s="191" t="s">
        <v>124</v>
      </c>
      <c r="C4" s="191"/>
      <c r="D4" s="191"/>
      <c r="E4" s="191"/>
      <c r="F4" s="191"/>
      <c r="G4" s="191"/>
      <c r="H4" s="191"/>
      <c r="I4" s="191"/>
      <c r="J4" s="191"/>
      <c r="K4" s="191"/>
      <c r="L4" s="191"/>
    </row>
    <row r="5" spans="2:12">
      <c r="B5" s="191" t="s">
        <v>125</v>
      </c>
      <c r="C5" s="191"/>
      <c r="D5" s="191"/>
      <c r="E5" s="191"/>
      <c r="F5" s="191"/>
      <c r="G5" s="191"/>
      <c r="H5" s="191"/>
      <c r="I5" s="191"/>
      <c r="J5" s="191"/>
      <c r="K5" s="191"/>
      <c r="L5" s="191"/>
    </row>
    <row r="6" spans="2:12">
      <c r="B6" s="250" t="s">
        <v>126</v>
      </c>
      <c r="C6" s="250"/>
      <c r="D6" s="250"/>
      <c r="E6" s="250"/>
      <c r="F6" s="250"/>
      <c r="G6" s="250"/>
      <c r="H6" s="250"/>
      <c r="I6" s="250"/>
      <c r="J6" s="250"/>
      <c r="K6" s="250"/>
      <c r="L6" s="250"/>
    </row>
    <row r="7" spans="2:12">
      <c r="B7" s="256" t="s">
        <v>127</v>
      </c>
      <c r="C7" s="256"/>
      <c r="D7" s="256"/>
      <c r="E7" s="256"/>
      <c r="F7" s="256"/>
      <c r="G7" s="256"/>
      <c r="H7" s="256"/>
      <c r="I7" s="256"/>
      <c r="J7" s="256"/>
      <c r="K7" s="256"/>
      <c r="L7" s="256"/>
    </row>
    <row r="9" spans="2:12">
      <c r="B9" s="190" t="s">
        <v>128</v>
      </c>
      <c r="C9" s="190"/>
      <c r="D9" s="190"/>
      <c r="E9" s="190"/>
      <c r="F9" s="190"/>
      <c r="G9" s="190"/>
      <c r="H9" s="190"/>
      <c r="I9" s="190"/>
      <c r="J9" s="190"/>
      <c r="K9" s="190"/>
      <c r="L9" s="190"/>
    </row>
    <row r="10" spans="2:12">
      <c r="F10" s="239" t="s">
        <v>129</v>
      </c>
      <c r="G10" s="239"/>
      <c r="H10" s="239"/>
      <c r="I10" s="239"/>
      <c r="J10" s="239"/>
      <c r="K10" s="239"/>
      <c r="L10" s="239"/>
    </row>
    <row r="11" spans="2:12">
      <c r="F11" s="1">
        <v>1991</v>
      </c>
      <c r="G11" s="1">
        <v>1996</v>
      </c>
      <c r="H11" s="1">
        <v>2001</v>
      </c>
      <c r="I11" s="1">
        <v>2006</v>
      </c>
      <c r="J11" s="1">
        <v>2011</v>
      </c>
      <c r="K11" s="1">
        <v>2016</v>
      </c>
      <c r="L11" s="1">
        <v>2021</v>
      </c>
    </row>
    <row r="12" spans="2:12">
      <c r="B12" s="255" t="s">
        <v>130</v>
      </c>
      <c r="C12" s="252" t="s">
        <v>131</v>
      </c>
      <c r="D12" s="252"/>
      <c r="E12" s="252"/>
      <c r="F12" s="39">
        <v>12380</v>
      </c>
      <c r="G12" s="39">
        <v>17142</v>
      </c>
      <c r="H12" s="39">
        <v>15805</v>
      </c>
      <c r="I12" s="39">
        <v>19996</v>
      </c>
      <c r="J12" s="39">
        <v>11112</v>
      </c>
      <c r="K12" s="39">
        <v>21310</v>
      </c>
      <c r="L12" s="39">
        <v>25564</v>
      </c>
    </row>
    <row r="13" spans="2:12">
      <c r="B13" s="255"/>
      <c r="C13" s="199" t="s">
        <v>132</v>
      </c>
      <c r="D13" s="199"/>
      <c r="E13" s="199"/>
      <c r="F13" s="38">
        <f t="shared" ref="F13:L13" si="0">F14/F12</f>
        <v>152.90613893376414</v>
      </c>
      <c r="G13" s="38">
        <f t="shared" si="0"/>
        <v>184.26216310815542</v>
      </c>
      <c r="H13" s="38">
        <f t="shared" si="0"/>
        <v>197.58753559000317</v>
      </c>
      <c r="I13" s="38">
        <f t="shared" si="0"/>
        <v>215.39837967593519</v>
      </c>
      <c r="J13" s="38">
        <f t="shared" si="0"/>
        <v>211.50314974802015</v>
      </c>
      <c r="K13" s="38">
        <f t="shared" si="0"/>
        <v>208.66579070858751</v>
      </c>
      <c r="L13" s="38">
        <f t="shared" si="0"/>
        <v>194.90318416523235</v>
      </c>
    </row>
    <row r="14" spans="2:12">
      <c r="B14" s="255"/>
      <c r="C14" s="254" t="s">
        <v>133</v>
      </c>
      <c r="D14" s="254"/>
      <c r="E14" s="254"/>
      <c r="F14" s="40">
        <v>1892978</v>
      </c>
      <c r="G14" s="40">
        <v>3158622</v>
      </c>
      <c r="H14" s="40">
        <v>3122871</v>
      </c>
      <c r="I14" s="40">
        <v>4307106</v>
      </c>
      <c r="J14" s="40">
        <v>2350223</v>
      </c>
      <c r="K14" s="40">
        <v>4446668</v>
      </c>
      <c r="L14" s="40">
        <v>4982505</v>
      </c>
    </row>
    <row r="15" spans="2:12">
      <c r="B15" s="248" t="s">
        <v>134</v>
      </c>
      <c r="C15" s="199" t="s">
        <v>131</v>
      </c>
      <c r="D15" s="199"/>
      <c r="E15" s="199"/>
      <c r="F15" s="38">
        <v>5138</v>
      </c>
      <c r="G15" s="38">
        <v>5681</v>
      </c>
      <c r="H15" s="38">
        <v>4734</v>
      </c>
      <c r="I15" s="38">
        <v>5956</v>
      </c>
      <c r="J15" s="38">
        <v>2550</v>
      </c>
      <c r="K15" s="38">
        <v>8756</v>
      </c>
      <c r="L15" s="38">
        <v>23335</v>
      </c>
    </row>
    <row r="16" spans="2:12">
      <c r="B16" s="248"/>
      <c r="C16" s="199" t="s">
        <v>135</v>
      </c>
      <c r="D16" s="199"/>
      <c r="E16" s="199"/>
      <c r="F16" s="38">
        <f t="shared" ref="F16:L16" si="1">F17/F15</f>
        <v>105.29836512261581</v>
      </c>
      <c r="G16" s="38">
        <f t="shared" si="1"/>
        <v>133.90811476852667</v>
      </c>
      <c r="H16" s="38">
        <f t="shared" si="1"/>
        <v>114.1588508660752</v>
      </c>
      <c r="I16" s="38">
        <f t="shared" si="1"/>
        <v>110.82152451309604</v>
      </c>
      <c r="J16" s="38">
        <f t="shared" si="1"/>
        <v>104.82470588235294</v>
      </c>
      <c r="K16" s="38">
        <f t="shared" si="1"/>
        <v>116.91662859753312</v>
      </c>
      <c r="L16" s="38">
        <f t="shared" si="1"/>
        <v>108.89565031069209</v>
      </c>
    </row>
    <row r="17" spans="2:24">
      <c r="B17" s="248"/>
      <c r="C17" s="199" t="s">
        <v>133</v>
      </c>
      <c r="D17" s="199"/>
      <c r="E17" s="199"/>
      <c r="F17" s="38">
        <v>541023</v>
      </c>
      <c r="G17" s="38">
        <v>760732</v>
      </c>
      <c r="H17" s="38">
        <v>540428</v>
      </c>
      <c r="I17" s="38">
        <v>660053</v>
      </c>
      <c r="J17" s="38">
        <v>267303</v>
      </c>
      <c r="K17" s="38">
        <v>1023722</v>
      </c>
      <c r="L17" s="40">
        <v>2541080</v>
      </c>
    </row>
    <row r="18" spans="2:24">
      <c r="B18" s="251" t="s">
        <v>136</v>
      </c>
      <c r="C18" s="252" t="s">
        <v>131</v>
      </c>
      <c r="D18" s="252"/>
      <c r="E18" s="252"/>
      <c r="F18" s="39">
        <f t="shared" ref="F18:L18" si="2">SUM(F12,F15)</f>
        <v>17518</v>
      </c>
      <c r="G18" s="39">
        <f t="shared" si="2"/>
        <v>22823</v>
      </c>
      <c r="H18" s="39">
        <f t="shared" si="2"/>
        <v>20539</v>
      </c>
      <c r="I18" s="39">
        <f t="shared" si="2"/>
        <v>25952</v>
      </c>
      <c r="J18" s="39">
        <f t="shared" si="2"/>
        <v>13662</v>
      </c>
      <c r="K18" s="39">
        <f t="shared" si="2"/>
        <v>30066</v>
      </c>
      <c r="L18" s="39">
        <f t="shared" si="2"/>
        <v>48899</v>
      </c>
    </row>
    <row r="19" spans="2:24">
      <c r="B19" s="251"/>
      <c r="C19" s="253" t="s">
        <v>135</v>
      </c>
      <c r="D19" s="253"/>
      <c r="E19" s="253"/>
      <c r="F19" s="41">
        <f t="shared" ref="F19:L19" si="3">F20/F18</f>
        <v>138.94285877383263</v>
      </c>
      <c r="G19" s="41">
        <f t="shared" si="3"/>
        <v>171.72825658327127</v>
      </c>
      <c r="H19" s="41">
        <f t="shared" si="3"/>
        <v>178.35819660158722</v>
      </c>
      <c r="I19" s="41">
        <f t="shared" si="3"/>
        <v>191.39792694204687</v>
      </c>
      <c r="J19" s="41">
        <f t="shared" si="3"/>
        <v>191.59171424388816</v>
      </c>
      <c r="K19" s="41">
        <f t="shared" si="3"/>
        <v>181.94605201889178</v>
      </c>
      <c r="L19" s="41">
        <f t="shared" si="3"/>
        <v>153.8596903822164</v>
      </c>
    </row>
    <row r="20" spans="2:24">
      <c r="B20" s="251"/>
      <c r="C20" s="254" t="s">
        <v>133</v>
      </c>
      <c r="D20" s="254"/>
      <c r="E20" s="254"/>
      <c r="F20" s="40">
        <f t="shared" ref="F20:L20" si="4">SUM(F14,F17)</f>
        <v>2434001</v>
      </c>
      <c r="G20" s="40">
        <f t="shared" si="4"/>
        <v>3919354</v>
      </c>
      <c r="H20" s="40">
        <f t="shared" si="4"/>
        <v>3663299</v>
      </c>
      <c r="I20" s="40">
        <f t="shared" si="4"/>
        <v>4967159</v>
      </c>
      <c r="J20" s="40">
        <f t="shared" si="4"/>
        <v>2617526</v>
      </c>
      <c r="K20" s="40">
        <f t="shared" si="4"/>
        <v>5470390</v>
      </c>
      <c r="L20" s="40">
        <f t="shared" si="4"/>
        <v>7523585</v>
      </c>
    </row>
    <row r="22" spans="2:24">
      <c r="B22" s="42" t="s">
        <v>137</v>
      </c>
      <c r="C22" s="43"/>
      <c r="D22" s="43"/>
      <c r="E22" s="43"/>
      <c r="F22" s="44">
        <v>3.4950000000000001</v>
      </c>
      <c r="G22" s="44">
        <v>3.7320000000000002</v>
      </c>
      <c r="H22" s="44">
        <v>3.88</v>
      </c>
      <c r="I22" s="44">
        <v>4.1849999999999996</v>
      </c>
      <c r="J22" s="44">
        <v>4.3840000000000003</v>
      </c>
      <c r="K22" s="44">
        <v>4.7140000000000004</v>
      </c>
      <c r="L22" s="44">
        <v>5.1230000000000002</v>
      </c>
    </row>
    <row r="25" spans="2:24">
      <c r="B25" s="190" t="s">
        <v>138</v>
      </c>
      <c r="C25" s="190"/>
      <c r="D25" s="190"/>
      <c r="E25" s="190"/>
      <c r="F25" s="190"/>
      <c r="G25" s="190"/>
      <c r="H25" s="190"/>
      <c r="I25" s="190"/>
      <c r="J25" s="190"/>
      <c r="K25" s="190"/>
      <c r="L25" s="190"/>
      <c r="M25" s="190"/>
      <c r="N25" s="190"/>
      <c r="O25" s="190"/>
      <c r="P25" s="190"/>
      <c r="Q25" s="190"/>
      <c r="R25" s="190"/>
      <c r="S25" s="190"/>
      <c r="T25" s="190"/>
      <c r="U25" s="190"/>
      <c r="V25" s="190"/>
    </row>
    <row r="27" spans="2:24">
      <c r="B27" s="1"/>
      <c r="C27" s="222" t="s">
        <v>139</v>
      </c>
      <c r="D27" s="201"/>
      <c r="E27" s="244"/>
      <c r="F27" s="222" t="s">
        <v>140</v>
      </c>
      <c r="G27" s="201"/>
      <c r="H27" s="244"/>
      <c r="I27" s="222" t="s">
        <v>141</v>
      </c>
      <c r="J27" s="244"/>
      <c r="K27" s="201" t="s">
        <v>142</v>
      </c>
      <c r="L27" s="201"/>
      <c r="M27" s="222" t="s">
        <v>143</v>
      </c>
      <c r="N27" s="244"/>
      <c r="O27" s="201" t="s">
        <v>144</v>
      </c>
      <c r="P27" s="201"/>
      <c r="Q27" s="222" t="s">
        <v>145</v>
      </c>
      <c r="R27" s="201"/>
      <c r="S27" s="201"/>
      <c r="T27" s="202" t="s">
        <v>146</v>
      </c>
      <c r="U27" s="203"/>
    </row>
    <row r="28" spans="2:24">
      <c r="B28" s="46" t="s">
        <v>29</v>
      </c>
      <c r="C28" s="47" t="s">
        <v>147</v>
      </c>
      <c r="D28" s="46" t="s">
        <v>148</v>
      </c>
      <c r="E28" s="48" t="s">
        <v>149</v>
      </c>
      <c r="F28" s="46" t="s">
        <v>150</v>
      </c>
      <c r="G28" s="46" t="s">
        <v>30</v>
      </c>
      <c r="H28" s="46" t="s">
        <v>151</v>
      </c>
      <c r="I28" s="47" t="s">
        <v>30</v>
      </c>
      <c r="J28" s="48" t="s">
        <v>33</v>
      </c>
      <c r="K28" s="46" t="s">
        <v>152</v>
      </c>
      <c r="L28" s="46" t="s">
        <v>30</v>
      </c>
      <c r="M28" s="47" t="s">
        <v>30</v>
      </c>
      <c r="N28" s="48" t="s">
        <v>33</v>
      </c>
      <c r="O28" s="46" t="s">
        <v>37</v>
      </c>
      <c r="P28" s="46" t="s">
        <v>153</v>
      </c>
      <c r="Q28" s="47" t="s">
        <v>154</v>
      </c>
      <c r="R28" s="46" t="s">
        <v>153</v>
      </c>
      <c r="S28" s="46" t="s">
        <v>155</v>
      </c>
      <c r="T28" s="202" t="s">
        <v>154</v>
      </c>
      <c r="U28" s="203"/>
      <c r="W28" s="68"/>
      <c r="X28" s="137" t="s">
        <v>156</v>
      </c>
    </row>
    <row r="29" spans="2:24">
      <c r="B29" s="67">
        <v>1991</v>
      </c>
      <c r="C29" s="134">
        <v>0.4</v>
      </c>
      <c r="D29" s="132">
        <v>0.53</v>
      </c>
      <c r="E29" s="135">
        <f t="shared" ref="E29:E31" si="5">1-SUM(C29:D29)</f>
        <v>6.9999999999999951E-2</v>
      </c>
      <c r="F29" s="134">
        <v>0.43</v>
      </c>
      <c r="G29" s="132">
        <f t="shared" ref="G29:G31" si="6">0.1*0.72</f>
        <v>7.1999999999999995E-2</v>
      </c>
      <c r="H29" s="132">
        <f t="shared" ref="H29:H49" si="7">1-SUM(F29:G29)</f>
        <v>0.498</v>
      </c>
      <c r="I29" s="134">
        <v>0.98</v>
      </c>
      <c r="J29" s="135">
        <f t="shared" ref="J29:J40" si="8">1-I29</f>
        <v>2.0000000000000018E-2</v>
      </c>
      <c r="K29" s="134">
        <v>0.79</v>
      </c>
      <c r="L29" s="132">
        <f t="shared" ref="L29:L51" si="9">1-K29</f>
        <v>0.20999999999999996</v>
      </c>
      <c r="M29" s="134">
        <v>0.82</v>
      </c>
      <c r="N29" s="135">
        <f t="shared" ref="N29:N51" si="10">1-M29</f>
        <v>0.18000000000000005</v>
      </c>
      <c r="O29" s="134">
        <v>0.82</v>
      </c>
      <c r="P29" s="132">
        <f t="shared" ref="P29:P51" si="11">1-O29</f>
        <v>0.18000000000000005</v>
      </c>
      <c r="Q29" s="134">
        <v>0.2</v>
      </c>
      <c r="R29" s="132">
        <f t="shared" ref="R29:R36" si="12">0.28-Q29</f>
        <v>8.0000000000000016E-2</v>
      </c>
      <c r="S29" s="135">
        <f t="shared" ref="S29:S36" si="13">1-SUM(Q29:R29)</f>
        <v>0.72</v>
      </c>
      <c r="T29" s="263">
        <v>0.24</v>
      </c>
      <c r="U29" s="264"/>
    </row>
    <row r="30" spans="2:24">
      <c r="B30" s="67">
        <v>1996</v>
      </c>
      <c r="C30" s="134">
        <v>0.4</v>
      </c>
      <c r="D30" s="132">
        <v>0.53</v>
      </c>
      <c r="E30" s="135">
        <f t="shared" si="5"/>
        <v>6.9999999999999951E-2</v>
      </c>
      <c r="F30" s="134">
        <v>0.43</v>
      </c>
      <c r="G30" s="132">
        <f t="shared" si="6"/>
        <v>7.1999999999999995E-2</v>
      </c>
      <c r="H30" s="132">
        <f t="shared" si="7"/>
        <v>0.498</v>
      </c>
      <c r="I30" s="134">
        <v>0.98</v>
      </c>
      <c r="J30" s="135">
        <f t="shared" si="8"/>
        <v>2.0000000000000018E-2</v>
      </c>
      <c r="K30" s="134">
        <v>0.79</v>
      </c>
      <c r="L30" s="132">
        <f t="shared" si="9"/>
        <v>0.20999999999999996</v>
      </c>
      <c r="M30" s="134">
        <v>0.82</v>
      </c>
      <c r="N30" s="135">
        <f t="shared" si="10"/>
        <v>0.18000000000000005</v>
      </c>
      <c r="O30" s="134">
        <v>0.82</v>
      </c>
      <c r="P30" s="132">
        <f t="shared" si="11"/>
        <v>0.18000000000000005</v>
      </c>
      <c r="Q30" s="134">
        <v>0.2</v>
      </c>
      <c r="R30" s="132">
        <f t="shared" si="12"/>
        <v>8.0000000000000016E-2</v>
      </c>
      <c r="S30" s="135">
        <f t="shared" si="13"/>
        <v>0.72</v>
      </c>
      <c r="T30" s="263">
        <v>0.24</v>
      </c>
      <c r="U30" s="264"/>
    </row>
    <row r="31" spans="2:24">
      <c r="B31" s="67">
        <v>2001</v>
      </c>
      <c r="C31" s="134">
        <v>0.4</v>
      </c>
      <c r="D31" s="132">
        <v>0.53</v>
      </c>
      <c r="E31" s="135">
        <f t="shared" si="5"/>
        <v>6.9999999999999951E-2</v>
      </c>
      <c r="F31" s="134">
        <v>0.43</v>
      </c>
      <c r="G31" s="132">
        <f t="shared" si="6"/>
        <v>7.1999999999999995E-2</v>
      </c>
      <c r="H31" s="132">
        <f t="shared" si="7"/>
        <v>0.498</v>
      </c>
      <c r="I31" s="134">
        <v>0.98</v>
      </c>
      <c r="J31" s="135">
        <f t="shared" si="8"/>
        <v>2.0000000000000018E-2</v>
      </c>
      <c r="K31" s="134">
        <v>0.79</v>
      </c>
      <c r="L31" s="132">
        <f t="shared" si="9"/>
        <v>0.20999999999999996</v>
      </c>
      <c r="M31" s="134">
        <v>0.82</v>
      </c>
      <c r="N31" s="135">
        <f t="shared" si="10"/>
        <v>0.18000000000000005</v>
      </c>
      <c r="O31" s="134">
        <v>0.82</v>
      </c>
      <c r="P31" s="132">
        <f t="shared" si="11"/>
        <v>0.18000000000000005</v>
      </c>
      <c r="Q31" s="134">
        <v>0.2</v>
      </c>
      <c r="R31" s="132">
        <f t="shared" si="12"/>
        <v>8.0000000000000016E-2</v>
      </c>
      <c r="S31" s="135">
        <f t="shared" si="13"/>
        <v>0.72</v>
      </c>
      <c r="T31" s="263">
        <v>0.24</v>
      </c>
      <c r="U31" s="264"/>
    </row>
    <row r="32" spans="2:24">
      <c r="B32" s="1">
        <v>2002</v>
      </c>
      <c r="C32" s="133">
        <v>0.4</v>
      </c>
      <c r="D32" s="19">
        <v>0.53</v>
      </c>
      <c r="E32" s="136">
        <f t="shared" ref="E32:E38" si="14">1-SUM(C32:D32)</f>
        <v>6.9999999999999951E-2</v>
      </c>
      <c r="F32" s="133">
        <v>0.43</v>
      </c>
      <c r="G32" s="19">
        <f>0.1*0.72</f>
        <v>7.1999999999999995E-2</v>
      </c>
      <c r="H32" s="19">
        <f t="shared" si="7"/>
        <v>0.498</v>
      </c>
      <c r="I32" s="133">
        <v>0.98</v>
      </c>
      <c r="J32" s="136">
        <f t="shared" si="8"/>
        <v>2.0000000000000018E-2</v>
      </c>
      <c r="K32" s="133">
        <v>0.79</v>
      </c>
      <c r="L32" s="19">
        <f t="shared" si="9"/>
        <v>0.20999999999999996</v>
      </c>
      <c r="M32" s="133">
        <v>0.82</v>
      </c>
      <c r="N32" s="136">
        <f t="shared" si="10"/>
        <v>0.18000000000000005</v>
      </c>
      <c r="O32" s="133">
        <v>0.82</v>
      </c>
      <c r="P32" s="19">
        <f t="shared" si="11"/>
        <v>0.18000000000000005</v>
      </c>
      <c r="Q32" s="134">
        <v>0.2</v>
      </c>
      <c r="R32" s="132">
        <f t="shared" si="12"/>
        <v>8.0000000000000016E-2</v>
      </c>
      <c r="S32" s="135">
        <f t="shared" si="13"/>
        <v>0.72</v>
      </c>
      <c r="T32" s="263">
        <v>0.24</v>
      </c>
      <c r="U32" s="264"/>
    </row>
    <row r="33" spans="2:21">
      <c r="B33" s="1">
        <v>2003</v>
      </c>
      <c r="C33" s="133">
        <v>0.43</v>
      </c>
      <c r="D33" s="19">
        <v>0.47</v>
      </c>
      <c r="E33" s="136">
        <f t="shared" si="14"/>
        <v>0.10000000000000009</v>
      </c>
      <c r="F33" s="133">
        <v>0.46</v>
      </c>
      <c r="G33" s="19">
        <f>0.13*0.72</f>
        <v>9.3600000000000003E-2</v>
      </c>
      <c r="H33" s="19">
        <f t="shared" si="7"/>
        <v>0.44640000000000002</v>
      </c>
      <c r="I33" s="133">
        <v>0.97</v>
      </c>
      <c r="J33" s="136">
        <f t="shared" si="8"/>
        <v>3.0000000000000027E-2</v>
      </c>
      <c r="K33" s="133">
        <v>0.79</v>
      </c>
      <c r="L33" s="19">
        <f t="shared" si="9"/>
        <v>0.20999999999999996</v>
      </c>
      <c r="M33" s="133">
        <v>0.78</v>
      </c>
      <c r="N33" s="136">
        <f t="shared" si="10"/>
        <v>0.21999999999999997</v>
      </c>
      <c r="O33" s="133">
        <v>0.95</v>
      </c>
      <c r="P33" s="19">
        <f t="shared" si="11"/>
        <v>5.0000000000000044E-2</v>
      </c>
      <c r="Q33" s="134">
        <v>0.2</v>
      </c>
      <c r="R33" s="132">
        <f t="shared" si="12"/>
        <v>8.0000000000000016E-2</v>
      </c>
      <c r="S33" s="135">
        <f t="shared" si="13"/>
        <v>0.72</v>
      </c>
      <c r="T33" s="263">
        <v>0.24</v>
      </c>
      <c r="U33" s="264"/>
    </row>
    <row r="34" spans="2:21">
      <c r="B34" s="1">
        <v>2004</v>
      </c>
      <c r="C34" s="133">
        <v>0.49</v>
      </c>
      <c r="D34" s="19">
        <v>0.38</v>
      </c>
      <c r="E34" s="136">
        <f t="shared" si="14"/>
        <v>0.13</v>
      </c>
      <c r="F34" s="133">
        <v>0.46</v>
      </c>
      <c r="G34" s="19">
        <f>0.17*0.72</f>
        <v>0.12240000000000001</v>
      </c>
      <c r="H34" s="19">
        <f t="shared" si="7"/>
        <v>0.41759999999999997</v>
      </c>
      <c r="I34" s="133">
        <v>0.96</v>
      </c>
      <c r="J34" s="136">
        <f t="shared" si="8"/>
        <v>4.0000000000000036E-2</v>
      </c>
      <c r="K34" s="133">
        <v>0.79</v>
      </c>
      <c r="L34" s="19">
        <f t="shared" si="9"/>
        <v>0.20999999999999996</v>
      </c>
      <c r="M34" s="133">
        <v>0.7</v>
      </c>
      <c r="N34" s="136">
        <f t="shared" si="10"/>
        <v>0.30000000000000004</v>
      </c>
      <c r="O34" s="133">
        <v>0.94</v>
      </c>
      <c r="P34" s="19">
        <f t="shared" si="11"/>
        <v>6.0000000000000053E-2</v>
      </c>
      <c r="Q34" s="134">
        <v>0.2</v>
      </c>
      <c r="R34" s="132">
        <f t="shared" si="12"/>
        <v>8.0000000000000016E-2</v>
      </c>
      <c r="S34" s="135">
        <f t="shared" si="13"/>
        <v>0.72</v>
      </c>
      <c r="T34" s="263">
        <v>0.24</v>
      </c>
      <c r="U34" s="264"/>
    </row>
    <row r="35" spans="2:21">
      <c r="B35" s="1">
        <v>2005</v>
      </c>
      <c r="C35" s="133">
        <v>0.46</v>
      </c>
      <c r="D35" s="19">
        <v>0.38</v>
      </c>
      <c r="E35" s="136">
        <f t="shared" si="14"/>
        <v>0.15999999999999992</v>
      </c>
      <c r="F35" s="133">
        <v>0.5</v>
      </c>
      <c r="G35" s="19">
        <f>0.18*0.72</f>
        <v>0.12959999999999999</v>
      </c>
      <c r="H35" s="19">
        <f t="shared" si="7"/>
        <v>0.37040000000000006</v>
      </c>
      <c r="I35" s="133">
        <v>0.9</v>
      </c>
      <c r="J35" s="136">
        <f t="shared" si="8"/>
        <v>9.9999999999999978E-2</v>
      </c>
      <c r="K35" s="133">
        <v>0.81</v>
      </c>
      <c r="L35" s="19">
        <f t="shared" si="9"/>
        <v>0.18999999999999995</v>
      </c>
      <c r="M35" s="133">
        <v>0.7</v>
      </c>
      <c r="N35" s="136">
        <f t="shared" si="10"/>
        <v>0.30000000000000004</v>
      </c>
      <c r="O35" s="133">
        <v>0.91</v>
      </c>
      <c r="P35" s="19">
        <f t="shared" si="11"/>
        <v>8.9999999999999969E-2</v>
      </c>
      <c r="Q35" s="134">
        <v>0.2</v>
      </c>
      <c r="R35" s="132">
        <f t="shared" si="12"/>
        <v>8.0000000000000016E-2</v>
      </c>
      <c r="S35" s="135">
        <f t="shared" si="13"/>
        <v>0.72</v>
      </c>
      <c r="T35" s="263">
        <v>0.24</v>
      </c>
      <c r="U35" s="264"/>
    </row>
    <row r="36" spans="2:21">
      <c r="B36" s="1">
        <v>2006</v>
      </c>
      <c r="C36" s="133">
        <v>0.45</v>
      </c>
      <c r="D36" s="19">
        <v>0.42</v>
      </c>
      <c r="E36" s="136">
        <f t="shared" si="14"/>
        <v>0.13</v>
      </c>
      <c r="F36" s="133">
        <v>0.51</v>
      </c>
      <c r="G36" s="19">
        <f>0.19*0.72</f>
        <v>0.1368</v>
      </c>
      <c r="H36" s="19">
        <f t="shared" si="7"/>
        <v>0.35319999999999996</v>
      </c>
      <c r="I36" s="133">
        <v>0.91</v>
      </c>
      <c r="J36" s="136">
        <f t="shared" si="8"/>
        <v>8.9999999999999969E-2</v>
      </c>
      <c r="K36" s="133">
        <v>0.81</v>
      </c>
      <c r="L36" s="19">
        <f t="shared" si="9"/>
        <v>0.18999999999999995</v>
      </c>
      <c r="M36" s="133">
        <v>0.64</v>
      </c>
      <c r="N36" s="136">
        <f t="shared" si="10"/>
        <v>0.36</v>
      </c>
      <c r="O36" s="133">
        <v>0.94</v>
      </c>
      <c r="P36" s="19">
        <f t="shared" si="11"/>
        <v>6.0000000000000053E-2</v>
      </c>
      <c r="Q36" s="134">
        <v>0.2</v>
      </c>
      <c r="R36" s="132">
        <f t="shared" si="12"/>
        <v>8.0000000000000016E-2</v>
      </c>
      <c r="S36" s="135">
        <f t="shared" si="13"/>
        <v>0.72</v>
      </c>
      <c r="T36" s="263">
        <v>0.24</v>
      </c>
      <c r="U36" s="264"/>
    </row>
    <row r="37" spans="2:21">
      <c r="B37" s="1">
        <v>2007</v>
      </c>
      <c r="C37" s="133">
        <v>0.54</v>
      </c>
      <c r="D37" s="19">
        <v>0.37</v>
      </c>
      <c r="E37" s="136">
        <f t="shared" si="14"/>
        <v>8.9999999999999969E-2</v>
      </c>
      <c r="F37" s="133">
        <v>0.44</v>
      </c>
      <c r="G37" s="19">
        <f>0.25*0.72</f>
        <v>0.18</v>
      </c>
      <c r="H37" s="19">
        <f t="shared" si="7"/>
        <v>0.38</v>
      </c>
      <c r="I37" s="133">
        <v>0.85</v>
      </c>
      <c r="J37" s="136">
        <f t="shared" si="8"/>
        <v>0.15000000000000002</v>
      </c>
      <c r="K37" s="133">
        <v>0.78</v>
      </c>
      <c r="L37" s="19">
        <f t="shared" si="9"/>
        <v>0.21999999999999997</v>
      </c>
      <c r="M37" s="133">
        <v>0.69</v>
      </c>
      <c r="N37" s="136">
        <f t="shared" si="10"/>
        <v>0.31000000000000005</v>
      </c>
      <c r="O37" s="133">
        <v>0.95</v>
      </c>
      <c r="P37" s="19">
        <f t="shared" si="11"/>
        <v>5.0000000000000044E-2</v>
      </c>
      <c r="Q37" s="133">
        <v>0.2</v>
      </c>
      <c r="R37" s="19">
        <f>0.28-Q37</f>
        <v>8.0000000000000016E-2</v>
      </c>
      <c r="S37" s="136">
        <f>1-SUM(Q37:R37)</f>
        <v>0.72</v>
      </c>
      <c r="T37" s="262">
        <v>0.24</v>
      </c>
      <c r="U37" s="227"/>
    </row>
    <row r="38" spans="2:21">
      <c r="B38" s="1">
        <v>2008</v>
      </c>
      <c r="C38" s="133">
        <v>0.47</v>
      </c>
      <c r="D38" s="19">
        <v>0.36</v>
      </c>
      <c r="E38" s="136">
        <f t="shared" si="14"/>
        <v>0.17000000000000004</v>
      </c>
      <c r="F38" s="133">
        <v>0.43</v>
      </c>
      <c r="G38" s="19">
        <f>0.26*0.72</f>
        <v>0.18720000000000001</v>
      </c>
      <c r="H38" s="19">
        <f t="shared" si="7"/>
        <v>0.38280000000000003</v>
      </c>
      <c r="I38" s="133">
        <v>0.86</v>
      </c>
      <c r="J38" s="136">
        <f t="shared" si="8"/>
        <v>0.14000000000000001</v>
      </c>
      <c r="K38" s="133">
        <v>0.73</v>
      </c>
      <c r="L38" s="19">
        <f t="shared" si="9"/>
        <v>0.27</v>
      </c>
      <c r="M38" s="133">
        <v>0.69</v>
      </c>
      <c r="N38" s="136">
        <f t="shared" si="10"/>
        <v>0.31000000000000005</v>
      </c>
      <c r="O38" s="133">
        <v>0.94</v>
      </c>
      <c r="P38" s="19">
        <f t="shared" si="11"/>
        <v>6.0000000000000053E-2</v>
      </c>
      <c r="Q38" s="133">
        <v>0.32</v>
      </c>
      <c r="R38" s="19">
        <f>0.37-Q38</f>
        <v>4.9999999999999989E-2</v>
      </c>
      <c r="S38" s="136">
        <f>1-SUM(Q38:R38)</f>
        <v>0.63</v>
      </c>
      <c r="T38" s="262">
        <v>0.38</v>
      </c>
      <c r="U38" s="227"/>
    </row>
    <row r="39" spans="2:21">
      <c r="B39" s="1">
        <v>2009</v>
      </c>
      <c r="C39" s="133">
        <v>0.48</v>
      </c>
      <c r="D39" s="19">
        <v>0.35</v>
      </c>
      <c r="E39" s="136">
        <f>1-SUM(C39:D39)</f>
        <v>0.17000000000000004</v>
      </c>
      <c r="F39" s="133">
        <v>0.42</v>
      </c>
      <c r="G39" s="19">
        <f>0.27*0.72</f>
        <v>0.19440000000000002</v>
      </c>
      <c r="H39" s="19">
        <f t="shared" si="7"/>
        <v>0.38559999999999994</v>
      </c>
      <c r="I39" s="133">
        <v>0.85</v>
      </c>
      <c r="J39" s="136">
        <f t="shared" si="8"/>
        <v>0.15000000000000002</v>
      </c>
      <c r="K39" s="133">
        <v>0.78</v>
      </c>
      <c r="L39" s="19">
        <f t="shared" si="9"/>
        <v>0.21999999999999997</v>
      </c>
      <c r="M39" s="133">
        <v>0.71</v>
      </c>
      <c r="N39" s="136">
        <f t="shared" si="10"/>
        <v>0.29000000000000004</v>
      </c>
      <c r="O39" s="133">
        <v>0.94</v>
      </c>
      <c r="P39" s="19">
        <f t="shared" si="11"/>
        <v>6.0000000000000053E-2</v>
      </c>
      <c r="Q39" s="133">
        <v>0.52</v>
      </c>
      <c r="R39" s="19">
        <f>0.64-Q39</f>
        <v>0.12</v>
      </c>
      <c r="S39" s="136">
        <f>1-SUM(Q39:R39)</f>
        <v>0.36</v>
      </c>
      <c r="T39" s="262">
        <v>0.42</v>
      </c>
      <c r="U39" s="227"/>
    </row>
    <row r="40" spans="2:21">
      <c r="B40" s="1">
        <v>2010</v>
      </c>
      <c r="C40" s="133">
        <v>0.53</v>
      </c>
      <c r="D40" s="19">
        <v>0.39</v>
      </c>
      <c r="E40" s="136">
        <v>0.08</v>
      </c>
      <c r="F40" s="19">
        <v>0.46</v>
      </c>
      <c r="G40" s="19">
        <f>0.28*0.72</f>
        <v>0.2016</v>
      </c>
      <c r="H40" s="19">
        <f t="shared" si="7"/>
        <v>0.33840000000000003</v>
      </c>
      <c r="I40" s="133">
        <v>0.9</v>
      </c>
      <c r="J40" s="136">
        <f t="shared" si="8"/>
        <v>9.9999999999999978E-2</v>
      </c>
      <c r="K40" s="19">
        <v>0.81</v>
      </c>
      <c r="L40" s="19">
        <f t="shared" si="9"/>
        <v>0.18999999999999995</v>
      </c>
      <c r="M40" s="133">
        <v>0.69</v>
      </c>
      <c r="N40" s="136">
        <f t="shared" si="10"/>
        <v>0.31000000000000005</v>
      </c>
      <c r="O40" s="19">
        <v>0.96</v>
      </c>
      <c r="P40" s="19">
        <f t="shared" si="11"/>
        <v>4.0000000000000036E-2</v>
      </c>
      <c r="Q40" s="133">
        <f t="shared" ref="Q40:Q51" si="15">1-R40-S40</f>
        <v>0.65</v>
      </c>
      <c r="R40" s="19">
        <f>0.35-S40</f>
        <v>0.12999999999999998</v>
      </c>
      <c r="S40" s="19">
        <v>0.22</v>
      </c>
      <c r="T40" s="262">
        <v>0.45</v>
      </c>
      <c r="U40" s="227"/>
    </row>
    <row r="41" spans="2:21">
      <c r="B41" s="1">
        <v>2011</v>
      </c>
      <c r="C41" s="133">
        <v>0.53</v>
      </c>
      <c r="D41" s="19">
        <v>0.42</v>
      </c>
      <c r="E41" s="136">
        <v>0.05</v>
      </c>
      <c r="F41" s="19">
        <v>0.44</v>
      </c>
      <c r="G41" s="19">
        <f>0.31*0.72</f>
        <v>0.22319999999999998</v>
      </c>
      <c r="H41" s="19">
        <f t="shared" si="7"/>
        <v>0.33679999999999999</v>
      </c>
      <c r="I41" s="133">
        <v>0.84</v>
      </c>
      <c r="J41" s="136">
        <f t="shared" ref="J41:J51" si="16">1-I41</f>
        <v>0.16000000000000003</v>
      </c>
      <c r="K41" s="19">
        <v>0.8</v>
      </c>
      <c r="L41" s="19">
        <f t="shared" si="9"/>
        <v>0.19999999999999996</v>
      </c>
      <c r="M41" s="133">
        <v>0.74</v>
      </c>
      <c r="N41" s="136">
        <f t="shared" si="10"/>
        <v>0.26</v>
      </c>
      <c r="O41" s="19">
        <v>0.96</v>
      </c>
      <c r="P41" s="19">
        <f t="shared" si="11"/>
        <v>4.0000000000000036E-2</v>
      </c>
      <c r="Q41" s="133">
        <f t="shared" si="15"/>
        <v>0.69000000000000006</v>
      </c>
      <c r="R41" s="19">
        <f>0.31-S41</f>
        <v>0.09</v>
      </c>
      <c r="S41" s="19">
        <v>0.22</v>
      </c>
      <c r="T41" s="262">
        <v>0.48</v>
      </c>
      <c r="U41" s="227"/>
    </row>
    <row r="42" spans="2:21">
      <c r="B42" s="1">
        <v>2012</v>
      </c>
      <c r="C42" s="133">
        <v>0.49</v>
      </c>
      <c r="D42" s="19">
        <v>0.43</v>
      </c>
      <c r="E42" s="136">
        <v>0.08</v>
      </c>
      <c r="F42" s="19">
        <v>0.45</v>
      </c>
      <c r="G42" s="19">
        <f>0.32*0.72</f>
        <v>0.23039999999999999</v>
      </c>
      <c r="H42" s="19">
        <f t="shared" si="7"/>
        <v>0.3196</v>
      </c>
      <c r="I42" s="133">
        <v>0.87</v>
      </c>
      <c r="J42" s="136">
        <f t="shared" si="16"/>
        <v>0.13</v>
      </c>
      <c r="K42" s="19">
        <v>0.8</v>
      </c>
      <c r="L42" s="19">
        <f t="shared" si="9"/>
        <v>0.19999999999999996</v>
      </c>
      <c r="M42" s="133">
        <v>0.79</v>
      </c>
      <c r="N42" s="136">
        <f t="shared" si="10"/>
        <v>0.20999999999999996</v>
      </c>
      <c r="O42" s="19">
        <v>0.96</v>
      </c>
      <c r="P42" s="19">
        <f t="shared" si="11"/>
        <v>4.0000000000000036E-2</v>
      </c>
      <c r="Q42" s="133">
        <f t="shared" si="15"/>
        <v>0.33999999999999991</v>
      </c>
      <c r="R42" s="19">
        <f>0.66-S42</f>
        <v>0.37000000000000005</v>
      </c>
      <c r="S42" s="19">
        <v>0.28999999999999998</v>
      </c>
      <c r="T42" s="262">
        <v>0.49</v>
      </c>
      <c r="U42" s="227"/>
    </row>
    <row r="43" spans="2:21">
      <c r="B43" s="1">
        <v>2013</v>
      </c>
      <c r="C43" s="133">
        <v>0.52</v>
      </c>
      <c r="D43" s="19">
        <v>0.36</v>
      </c>
      <c r="E43" s="136">
        <v>0.12</v>
      </c>
      <c r="F43" s="19">
        <v>0.47</v>
      </c>
      <c r="G43" s="19">
        <f>0.32*0.72</f>
        <v>0.23039999999999999</v>
      </c>
      <c r="H43" s="19">
        <f t="shared" si="7"/>
        <v>0.29960000000000009</v>
      </c>
      <c r="I43" s="133">
        <v>0.94</v>
      </c>
      <c r="J43" s="136">
        <f t="shared" si="16"/>
        <v>6.0000000000000053E-2</v>
      </c>
      <c r="K43" s="19">
        <v>0.79</v>
      </c>
      <c r="L43" s="19">
        <f t="shared" si="9"/>
        <v>0.20999999999999996</v>
      </c>
      <c r="M43" s="133">
        <v>0.62</v>
      </c>
      <c r="N43" s="136">
        <f t="shared" si="10"/>
        <v>0.38</v>
      </c>
      <c r="O43" s="19">
        <v>0.96</v>
      </c>
      <c r="P43" s="19">
        <f t="shared" si="11"/>
        <v>4.0000000000000036E-2</v>
      </c>
      <c r="Q43" s="133">
        <f t="shared" si="15"/>
        <v>0.53</v>
      </c>
      <c r="R43" s="19">
        <f>0.47-S43</f>
        <v>0.24999999999999997</v>
      </c>
      <c r="S43" s="19">
        <v>0.22</v>
      </c>
      <c r="T43" s="262">
        <v>0.5</v>
      </c>
      <c r="U43" s="227"/>
    </row>
    <row r="44" spans="2:21">
      <c r="B44" s="1">
        <v>2014</v>
      </c>
      <c r="C44" s="133">
        <v>0.53</v>
      </c>
      <c r="D44" s="19">
        <v>0.38</v>
      </c>
      <c r="E44" s="136">
        <v>0.09</v>
      </c>
      <c r="F44" s="19">
        <v>0.38</v>
      </c>
      <c r="G44" s="19">
        <f>0.34*0.72</f>
        <v>0.24480000000000002</v>
      </c>
      <c r="H44" s="19">
        <f t="shared" si="7"/>
        <v>0.37519999999999998</v>
      </c>
      <c r="I44" s="133">
        <v>0.94</v>
      </c>
      <c r="J44" s="136">
        <f t="shared" si="16"/>
        <v>6.0000000000000053E-2</v>
      </c>
      <c r="K44" s="19">
        <v>0.77</v>
      </c>
      <c r="L44" s="19">
        <f t="shared" si="9"/>
        <v>0.22999999999999998</v>
      </c>
      <c r="M44" s="133">
        <v>0.71</v>
      </c>
      <c r="N44" s="136">
        <f t="shared" si="10"/>
        <v>0.29000000000000004</v>
      </c>
      <c r="O44" s="19">
        <v>0.97</v>
      </c>
      <c r="P44" s="19">
        <f t="shared" si="11"/>
        <v>3.0000000000000027E-2</v>
      </c>
      <c r="Q44" s="133">
        <f t="shared" si="15"/>
        <v>0.13</v>
      </c>
      <c r="R44" s="19">
        <f>0.87-S44</f>
        <v>0.25</v>
      </c>
      <c r="S44" s="19">
        <v>0.62</v>
      </c>
      <c r="T44" s="262">
        <v>0.63</v>
      </c>
      <c r="U44" s="227"/>
    </row>
    <row r="45" spans="2:21">
      <c r="B45" s="1">
        <v>2015</v>
      </c>
      <c r="C45" s="133">
        <v>0.54</v>
      </c>
      <c r="D45" s="19">
        <v>0.39</v>
      </c>
      <c r="E45" s="136">
        <v>7.0000000000000007E-2</v>
      </c>
      <c r="F45" s="19">
        <v>0.38</v>
      </c>
      <c r="G45" s="19">
        <f>0.37*0.72</f>
        <v>0.26639999999999997</v>
      </c>
      <c r="H45" s="19">
        <f t="shared" si="7"/>
        <v>0.35360000000000003</v>
      </c>
      <c r="I45" s="133">
        <v>0.93</v>
      </c>
      <c r="J45" s="136">
        <f t="shared" si="16"/>
        <v>6.9999999999999951E-2</v>
      </c>
      <c r="K45" s="19">
        <v>0.76</v>
      </c>
      <c r="L45" s="19">
        <f t="shared" si="9"/>
        <v>0.24</v>
      </c>
      <c r="M45" s="133">
        <v>0.74</v>
      </c>
      <c r="N45" s="136">
        <f t="shared" si="10"/>
        <v>0.26</v>
      </c>
      <c r="O45" s="19">
        <v>0.95</v>
      </c>
      <c r="P45" s="19">
        <f t="shared" si="11"/>
        <v>5.0000000000000044E-2</v>
      </c>
      <c r="Q45" s="133">
        <f t="shared" si="15"/>
        <v>0.7</v>
      </c>
      <c r="R45" s="19">
        <f>0.3-S45</f>
        <v>0.15</v>
      </c>
      <c r="S45" s="19">
        <v>0.15</v>
      </c>
      <c r="T45" s="262">
        <v>0.45</v>
      </c>
      <c r="U45" s="227"/>
    </row>
    <row r="46" spans="2:21">
      <c r="B46" s="1">
        <v>2016</v>
      </c>
      <c r="C46" s="133">
        <v>0.56000000000000005</v>
      </c>
      <c r="D46" s="19">
        <v>0.32</v>
      </c>
      <c r="E46" s="136">
        <v>0.12</v>
      </c>
      <c r="F46" s="19">
        <v>0.35</v>
      </c>
      <c r="G46" s="19">
        <f>0.38*0.72</f>
        <v>0.27360000000000001</v>
      </c>
      <c r="H46" s="19">
        <f t="shared" si="7"/>
        <v>0.37640000000000007</v>
      </c>
      <c r="I46" s="133">
        <v>0.92</v>
      </c>
      <c r="J46" s="136">
        <f t="shared" si="16"/>
        <v>7.999999999999996E-2</v>
      </c>
      <c r="K46" s="19">
        <v>0.77</v>
      </c>
      <c r="L46" s="19">
        <f t="shared" si="9"/>
        <v>0.22999999999999998</v>
      </c>
      <c r="M46" s="133">
        <v>0.75</v>
      </c>
      <c r="N46" s="136">
        <f t="shared" si="10"/>
        <v>0.25</v>
      </c>
      <c r="O46" s="19">
        <v>0.94</v>
      </c>
      <c r="P46" s="19">
        <f t="shared" si="11"/>
        <v>6.0000000000000053E-2</v>
      </c>
      <c r="Q46" s="133">
        <f t="shared" si="15"/>
        <v>0.66</v>
      </c>
      <c r="R46" s="19">
        <f>0.34-S46</f>
        <v>0.26</v>
      </c>
      <c r="S46" s="19">
        <v>0.08</v>
      </c>
      <c r="T46" s="262">
        <v>0.63</v>
      </c>
      <c r="U46" s="227"/>
    </row>
    <row r="47" spans="2:21">
      <c r="B47" s="1">
        <v>2017</v>
      </c>
      <c r="C47" s="133">
        <v>0.55000000000000004</v>
      </c>
      <c r="D47" s="19">
        <v>0.31</v>
      </c>
      <c r="E47" s="136">
        <v>0.14000000000000001</v>
      </c>
      <c r="F47" s="19">
        <v>0.31</v>
      </c>
      <c r="G47" s="19">
        <f>0.42*0.72</f>
        <v>0.3024</v>
      </c>
      <c r="H47" s="19">
        <f t="shared" si="7"/>
        <v>0.38759999999999994</v>
      </c>
      <c r="I47" s="133">
        <v>0.9</v>
      </c>
      <c r="J47" s="136">
        <f t="shared" si="16"/>
        <v>9.9999999999999978E-2</v>
      </c>
      <c r="K47" s="19">
        <v>0.74</v>
      </c>
      <c r="L47" s="19">
        <f t="shared" si="9"/>
        <v>0.26</v>
      </c>
      <c r="M47" s="133">
        <v>0.77</v>
      </c>
      <c r="N47" s="136">
        <f t="shared" si="10"/>
        <v>0.22999999999999998</v>
      </c>
      <c r="O47" s="19">
        <v>0.93</v>
      </c>
      <c r="P47" s="19">
        <f t="shared" si="11"/>
        <v>6.9999999999999951E-2</v>
      </c>
      <c r="Q47" s="133">
        <f t="shared" si="15"/>
        <v>0.79999999999999993</v>
      </c>
      <c r="R47" s="19">
        <f>0.2-S47</f>
        <v>0.16</v>
      </c>
      <c r="S47" s="19">
        <v>0.04</v>
      </c>
      <c r="T47" s="262">
        <v>0.56999999999999995</v>
      </c>
      <c r="U47" s="227"/>
    </row>
    <row r="48" spans="2:21">
      <c r="B48" s="1">
        <v>2018</v>
      </c>
      <c r="C48" s="133">
        <v>0.7</v>
      </c>
      <c r="D48" s="19">
        <v>0.24</v>
      </c>
      <c r="E48" s="136">
        <v>0.06</v>
      </c>
      <c r="F48" s="19">
        <v>0.28000000000000003</v>
      </c>
      <c r="G48" s="19">
        <f>0.42*0.59</f>
        <v>0.24779999999999996</v>
      </c>
      <c r="H48" s="19">
        <f t="shared" si="7"/>
        <v>0.47219999999999995</v>
      </c>
      <c r="I48" s="133">
        <v>0.94</v>
      </c>
      <c r="J48" s="136">
        <f t="shared" si="16"/>
        <v>6.0000000000000053E-2</v>
      </c>
      <c r="K48" s="19">
        <v>0.69</v>
      </c>
      <c r="L48" s="19">
        <f t="shared" si="9"/>
        <v>0.31000000000000005</v>
      </c>
      <c r="M48" s="133">
        <v>0.73</v>
      </c>
      <c r="N48" s="136">
        <f t="shared" si="10"/>
        <v>0.27</v>
      </c>
      <c r="O48" s="19">
        <v>0.93</v>
      </c>
      <c r="P48" s="19">
        <f t="shared" si="11"/>
        <v>6.9999999999999951E-2</v>
      </c>
      <c r="Q48" s="133">
        <f t="shared" si="15"/>
        <v>0.85</v>
      </c>
      <c r="R48" s="19">
        <v>0.15</v>
      </c>
      <c r="S48" s="19">
        <v>0</v>
      </c>
      <c r="T48" s="262">
        <v>0.61</v>
      </c>
      <c r="U48" s="227"/>
    </row>
    <row r="49" spans="2:22">
      <c r="B49" s="1">
        <v>2019</v>
      </c>
      <c r="C49" s="133">
        <v>0.71</v>
      </c>
      <c r="D49" s="19">
        <v>0.17</v>
      </c>
      <c r="E49" s="136">
        <v>0.12</v>
      </c>
      <c r="F49" s="19">
        <v>0.25</v>
      </c>
      <c r="G49" s="19">
        <f>0.43*0.75</f>
        <v>0.32250000000000001</v>
      </c>
      <c r="H49" s="19">
        <f t="shared" si="7"/>
        <v>0.42749999999999999</v>
      </c>
      <c r="I49" s="133">
        <v>0.86</v>
      </c>
      <c r="J49" s="136">
        <f t="shared" si="16"/>
        <v>0.14000000000000001</v>
      </c>
      <c r="K49" s="19">
        <v>0.65</v>
      </c>
      <c r="L49" s="19">
        <f t="shared" si="9"/>
        <v>0.35</v>
      </c>
      <c r="M49" s="133">
        <v>0.55000000000000004</v>
      </c>
      <c r="N49" s="136">
        <f t="shared" si="10"/>
        <v>0.44999999999999996</v>
      </c>
      <c r="O49" s="19">
        <v>0.9</v>
      </c>
      <c r="P49" s="19">
        <f t="shared" si="11"/>
        <v>9.9999999999999978E-2</v>
      </c>
      <c r="Q49" s="133">
        <f t="shared" si="15"/>
        <v>0.77</v>
      </c>
      <c r="R49" s="19">
        <v>0.23</v>
      </c>
      <c r="S49" s="19">
        <v>0</v>
      </c>
      <c r="T49" s="262">
        <v>0.61</v>
      </c>
      <c r="U49" s="227"/>
    </row>
    <row r="50" spans="2:22">
      <c r="B50" s="67">
        <v>2020</v>
      </c>
      <c r="C50" s="134">
        <v>0.71</v>
      </c>
      <c r="D50" s="132">
        <v>0.17</v>
      </c>
      <c r="E50" s="135">
        <v>0.12</v>
      </c>
      <c r="F50" s="132">
        <v>0.25</v>
      </c>
      <c r="G50" s="132">
        <f t="shared" ref="G50:G51" si="17">0.43*0.75</f>
        <v>0.32250000000000001</v>
      </c>
      <c r="H50" s="132">
        <f>1-SUM(F50:G50)</f>
        <v>0.42749999999999999</v>
      </c>
      <c r="I50" s="134">
        <v>0.86</v>
      </c>
      <c r="J50" s="135">
        <f t="shared" si="16"/>
        <v>0.14000000000000001</v>
      </c>
      <c r="K50" s="132">
        <v>0.65</v>
      </c>
      <c r="L50" s="132">
        <f t="shared" si="9"/>
        <v>0.35</v>
      </c>
      <c r="M50" s="134">
        <v>0.55000000000000004</v>
      </c>
      <c r="N50" s="135">
        <f t="shared" si="10"/>
        <v>0.44999999999999996</v>
      </c>
      <c r="O50" s="132">
        <v>0.9</v>
      </c>
      <c r="P50" s="132">
        <f t="shared" si="11"/>
        <v>9.9999999999999978E-2</v>
      </c>
      <c r="Q50" s="134">
        <f t="shared" si="15"/>
        <v>0.77</v>
      </c>
      <c r="R50" s="132">
        <v>0.23</v>
      </c>
      <c r="S50" s="132">
        <v>0</v>
      </c>
      <c r="T50" s="263">
        <v>0.61</v>
      </c>
      <c r="U50" s="264"/>
    </row>
    <row r="51" spans="2:22">
      <c r="B51" s="67">
        <v>2021</v>
      </c>
      <c r="C51" s="134">
        <v>0.71</v>
      </c>
      <c r="D51" s="132">
        <v>0.17</v>
      </c>
      <c r="E51" s="135">
        <v>0.12</v>
      </c>
      <c r="F51" s="132">
        <v>0.25</v>
      </c>
      <c r="G51" s="132">
        <f t="shared" si="17"/>
        <v>0.32250000000000001</v>
      </c>
      <c r="H51" s="132">
        <f>1-SUM(F51:G51)</f>
        <v>0.42749999999999999</v>
      </c>
      <c r="I51" s="134">
        <v>0.86</v>
      </c>
      <c r="J51" s="135">
        <f t="shared" si="16"/>
        <v>0.14000000000000001</v>
      </c>
      <c r="K51" s="132">
        <v>0.65</v>
      </c>
      <c r="L51" s="132">
        <f t="shared" si="9"/>
        <v>0.35</v>
      </c>
      <c r="M51" s="134">
        <v>0.55000000000000004</v>
      </c>
      <c r="N51" s="135">
        <f t="shared" si="10"/>
        <v>0.44999999999999996</v>
      </c>
      <c r="O51" s="132">
        <v>0.9</v>
      </c>
      <c r="P51" s="132">
        <f t="shared" si="11"/>
        <v>9.9999999999999978E-2</v>
      </c>
      <c r="Q51" s="134">
        <f t="shared" si="15"/>
        <v>0.77</v>
      </c>
      <c r="R51" s="132">
        <v>0.23</v>
      </c>
      <c r="S51" s="132">
        <v>0</v>
      </c>
      <c r="T51" s="263">
        <v>0.61</v>
      </c>
      <c r="U51" s="264"/>
    </row>
    <row r="54" spans="2:22">
      <c r="B54" s="249" t="s">
        <v>157</v>
      </c>
      <c r="C54" s="249"/>
      <c r="D54" s="249"/>
      <c r="E54" s="249"/>
      <c r="F54" s="249"/>
      <c r="G54" s="249"/>
      <c r="H54" s="249"/>
      <c r="I54" s="249"/>
      <c r="J54" s="249"/>
      <c r="K54" s="249"/>
      <c r="L54" s="249"/>
      <c r="M54" s="249"/>
      <c r="N54" s="249"/>
      <c r="O54" s="249"/>
      <c r="P54" s="249"/>
      <c r="Q54" s="249"/>
      <c r="R54" s="249"/>
      <c r="S54" s="249"/>
    </row>
    <row r="56" spans="2:22">
      <c r="B56" s="200" t="s">
        <v>29</v>
      </c>
      <c r="C56" s="200" t="s">
        <v>158</v>
      </c>
      <c r="D56" s="200" t="s">
        <v>159</v>
      </c>
      <c r="E56" s="200"/>
      <c r="F56" s="200"/>
      <c r="G56" s="200" t="s">
        <v>160</v>
      </c>
      <c r="H56" s="200"/>
      <c r="I56" s="200"/>
      <c r="J56" s="200" t="s">
        <v>161</v>
      </c>
      <c r="K56" s="200" t="s">
        <v>162</v>
      </c>
      <c r="L56" s="200"/>
      <c r="M56" s="248" t="s">
        <v>163</v>
      </c>
      <c r="N56" s="248"/>
      <c r="O56" s="246" t="s">
        <v>164</v>
      </c>
      <c r="P56" s="200" t="s">
        <v>165</v>
      </c>
      <c r="Q56" s="248" t="s">
        <v>166</v>
      </c>
      <c r="R56" s="248" t="s">
        <v>167</v>
      </c>
      <c r="S56" s="200" t="s">
        <v>168</v>
      </c>
    </row>
    <row r="57" spans="2:22">
      <c r="B57" s="200"/>
      <c r="C57" s="201"/>
      <c r="D57" s="201"/>
      <c r="E57" s="201"/>
      <c r="F57" s="201"/>
      <c r="G57" s="201"/>
      <c r="H57" s="201"/>
      <c r="I57" s="201"/>
      <c r="J57" s="201"/>
      <c r="K57" s="201"/>
      <c r="L57" s="201"/>
      <c r="M57" s="259"/>
      <c r="N57" s="259"/>
      <c r="O57" s="247"/>
      <c r="P57" s="201"/>
      <c r="Q57" s="248"/>
      <c r="R57" s="248"/>
      <c r="S57" s="201"/>
    </row>
    <row r="58" spans="2:22">
      <c r="B58" s="62">
        <v>2021</v>
      </c>
      <c r="C58" s="195" t="s">
        <v>130</v>
      </c>
      <c r="D58" s="219" t="s">
        <v>169</v>
      </c>
      <c r="E58" s="220"/>
      <c r="F58" s="220"/>
      <c r="G58" s="223" t="s">
        <v>170</v>
      </c>
      <c r="H58" s="223"/>
      <c r="I58" s="223"/>
      <c r="J58" s="38">
        <f>1.1034*B61*1.17</f>
        <v>251.6157228872633</v>
      </c>
      <c r="K58" s="210" t="s">
        <v>41</v>
      </c>
      <c r="L58" s="210"/>
      <c r="M58" s="184">
        <v>55</v>
      </c>
      <c r="N58" s="184"/>
      <c r="O58" s="38">
        <f>J58*M58</f>
        <v>13838.864758799482</v>
      </c>
      <c r="P58" s="49">
        <f t="shared" ref="P58:P77" si="18">O58/1000</f>
        <v>13.838864758799481</v>
      </c>
      <c r="Q58" s="65">
        <f>IF(B58=B51,D51,IF(B58=B46,D46,IF(B58=B41,D41,IF(B58=B36,D36,IF(B58=B31,D31,IF(B58=B30,D30,IF(B58=B29,D29,"N/A")))))))</f>
        <v>0.17</v>
      </c>
      <c r="R58" s="59">
        <f>P58*Q58*B63</f>
        <v>60142.04557797149</v>
      </c>
      <c r="S58" s="245">
        <f>SUM(R58:R61)</f>
        <v>1000244.5177068466</v>
      </c>
    </row>
    <row r="59" spans="2:22">
      <c r="B59" s="45"/>
      <c r="C59" s="196"/>
      <c r="D59" s="221"/>
      <c r="E59" s="200"/>
      <c r="F59" s="200"/>
      <c r="G59" s="199" t="s">
        <v>171</v>
      </c>
      <c r="H59" s="199"/>
      <c r="I59" s="199"/>
      <c r="J59" s="38">
        <f>(0.87*B61)-J83</f>
        <v>130.58513339070566</v>
      </c>
      <c r="K59" s="198">
        <v>7.0000000000000007E-2</v>
      </c>
      <c r="L59" s="198"/>
      <c r="M59" s="184">
        <v>1679</v>
      </c>
      <c r="N59" s="184"/>
      <c r="O59" s="38">
        <f>J59*K59*M59</f>
        <v>15347.670727409637</v>
      </c>
      <c r="P59" s="49">
        <f t="shared" si="18"/>
        <v>15.347670727409637</v>
      </c>
      <c r="Q59" s="19">
        <f>IF(B58=B51,F51,IF(B58=B46,F46,IF(B58=B41,F41,IF(B58=B36,F36,IF(B58=B31,F31,IF(B58=B30,F30,IF(B58=B29,F29,"N/A")))))))</f>
        <v>0.25</v>
      </c>
      <c r="R59" s="38">
        <f>P59*Q59*B63</f>
        <v>98086.963618874986</v>
      </c>
      <c r="S59" s="214"/>
    </row>
    <row r="60" spans="2:22">
      <c r="B60" s="130" t="s">
        <v>172</v>
      </c>
      <c r="C60" s="196"/>
      <c r="D60" s="221"/>
      <c r="E60" s="200"/>
      <c r="F60" s="200"/>
      <c r="G60" s="199" t="s">
        <v>173</v>
      </c>
      <c r="H60" s="199"/>
      <c r="I60" s="199"/>
      <c r="J60" s="54" t="s">
        <v>41</v>
      </c>
      <c r="K60" s="229" t="s">
        <v>41</v>
      </c>
      <c r="L60" s="229"/>
      <c r="M60" s="230" t="s">
        <v>41</v>
      </c>
      <c r="N60" s="230"/>
      <c r="O60" s="38">
        <f>'Material Mass Calc.'!T36</f>
        <v>7236.1499999999987</v>
      </c>
      <c r="P60" s="49">
        <f t="shared" si="18"/>
        <v>7.2361499999999985</v>
      </c>
      <c r="Q60" s="19">
        <f>IF(B58=B51,L51,IF(B58=B46,L46,IF(B58=B41,L41,IF(B58=B36,L36,IF(B58=B31,L31,IF(B58=B30,L30,IF(B58=B29,L29,"N/A")))))))</f>
        <v>0.35</v>
      </c>
      <c r="R60" s="38">
        <f>P60*Q60*B63</f>
        <v>64744.728509999979</v>
      </c>
      <c r="S60" s="214"/>
      <c r="V60" s="38"/>
    </row>
    <row r="61" spans="2:22">
      <c r="B61" s="141">
        <f>IF(B58=L11,L13,IF(B58=K11,K13,IF(B58=J11,J13,IF(B58=I11,I13,IF(B58=H11,H13,IF(B58=G11,G13,IF(B58=F11,F13,"N/A")))))))</f>
        <v>194.90318416523235</v>
      </c>
      <c r="C61" s="196"/>
      <c r="D61" s="222"/>
      <c r="E61" s="201"/>
      <c r="F61" s="201"/>
      <c r="G61" s="211" t="s">
        <v>174</v>
      </c>
      <c r="H61" s="211"/>
      <c r="I61" s="211"/>
      <c r="J61" s="50">
        <f>B61</f>
        <v>194.90318416523235</v>
      </c>
      <c r="K61" s="216">
        <v>0.1</v>
      </c>
      <c r="L61" s="216"/>
      <c r="M61" s="231">
        <v>2400</v>
      </c>
      <c r="N61" s="231"/>
      <c r="O61" s="50">
        <f>J61*K61*M61</f>
        <v>46776.764199655772</v>
      </c>
      <c r="P61" s="51">
        <f t="shared" si="18"/>
        <v>46.776764199655773</v>
      </c>
      <c r="Q61" s="60">
        <f>IF(B58=B51,K51,IF(B58=B46,K46,IF(B58=B41,K41,IF(B58=B36,K36,IF(B58=B31,K31,IF(B58=B30,K30,IF(B58=B29,K29,"N/A")))))))</f>
        <v>0.65</v>
      </c>
      <c r="R61" s="50">
        <f>P61*Q61*B63</f>
        <v>777270.78000000014</v>
      </c>
      <c r="S61" s="215"/>
    </row>
    <row r="62" spans="2:22">
      <c r="B62" s="130" t="s">
        <v>175</v>
      </c>
      <c r="C62" s="196"/>
      <c r="D62" s="219" t="s">
        <v>30</v>
      </c>
      <c r="E62" s="220"/>
      <c r="F62" s="220"/>
      <c r="G62" s="223" t="s">
        <v>140</v>
      </c>
      <c r="H62" s="223"/>
      <c r="I62" s="223"/>
      <c r="J62" s="38">
        <f>J59</f>
        <v>130.58513339070566</v>
      </c>
      <c r="K62" s="236">
        <v>1.4999999999999999E-2</v>
      </c>
      <c r="L62" s="236"/>
      <c r="M62" s="184">
        <v>510</v>
      </c>
      <c r="N62" s="184"/>
      <c r="O62" s="38">
        <f>J62*K62*M62</f>
        <v>998.97627043889827</v>
      </c>
      <c r="P62" s="49">
        <f t="shared" si="18"/>
        <v>0.99897627043889825</v>
      </c>
      <c r="Q62" s="19">
        <f>IF(B58=B51,G51,IF(B58=B46,G46,IF(B58=B41,G41,IF(B58=B36,G36,IF(B58=B31,G31,IF(B58=B30,G30,IF(B58=B29,G29,"N/A")))))))</f>
        <v>0.32250000000000001</v>
      </c>
      <c r="R62" s="38">
        <f>P62*Q62*B63</f>
        <v>8235.9499742437474</v>
      </c>
      <c r="S62" s="214">
        <f>SUM(R62:R68)</f>
        <v>139233.48762526229</v>
      </c>
    </row>
    <row r="63" spans="2:22">
      <c r="B63" s="130">
        <f>IF(B58=L11,L12,IF(B58=K11,K12,IF(B58=J11,J12,IF(B58=I11,I12,IF(B58=H11,H12,IF(B58=G11,G12,IF(B58=F11,F12,"N/A")))))))</f>
        <v>25564</v>
      </c>
      <c r="C63" s="196"/>
      <c r="D63" s="221"/>
      <c r="E63" s="200"/>
      <c r="F63" s="200"/>
      <c r="G63" s="199" t="s">
        <v>176</v>
      </c>
      <c r="H63" s="199"/>
      <c r="I63" s="199"/>
      <c r="J63" s="38">
        <f>0.86*B61</f>
        <v>167.61673838209981</v>
      </c>
      <c r="K63" s="210" t="s">
        <v>41</v>
      </c>
      <c r="L63" s="210"/>
      <c r="M63" s="198">
        <f>'Material Mass Calc.'!E19</f>
        <v>8.0058139534883708</v>
      </c>
      <c r="N63" s="198"/>
      <c r="O63" s="38">
        <f>J63*M63</f>
        <v>1341.9084229776245</v>
      </c>
      <c r="P63" s="49">
        <f t="shared" si="18"/>
        <v>1.3419084229776244</v>
      </c>
      <c r="Q63" s="225">
        <f>IF(B58=B51,I51,IF(B58=B46,I46,IF(B58=B41,I41,IF(B58=B36,I36,IF(B58=B31,I31,IF(B58=B30,I30,IF(B58=B29,I29,"N/A")))))))</f>
        <v>0.86</v>
      </c>
      <c r="R63" s="182">
        <f>(P63+P64)*Q63*B63</f>
        <v>62020.476806217172</v>
      </c>
      <c r="S63" s="214"/>
    </row>
    <row r="64" spans="2:22">
      <c r="B64" s="45"/>
      <c r="C64" s="196"/>
      <c r="D64" s="221"/>
      <c r="E64" s="200"/>
      <c r="F64" s="200"/>
      <c r="G64" s="199" t="s">
        <v>177</v>
      </c>
      <c r="H64" s="199"/>
      <c r="I64" s="199"/>
      <c r="J64" s="38">
        <f>0.87*B61</f>
        <v>169.56577022375214</v>
      </c>
      <c r="K64" s="209" t="s">
        <v>41</v>
      </c>
      <c r="L64" s="209"/>
      <c r="M64" s="198">
        <f>'Material Mass Calc.'!J19</f>
        <v>8.7230014534883722</v>
      </c>
      <c r="N64" s="198"/>
      <c r="O64" s="38">
        <f>J64*M64</f>
        <v>1479.1224601236652</v>
      </c>
      <c r="P64" s="49">
        <f t="shared" si="18"/>
        <v>1.4791224601236652</v>
      </c>
      <c r="Q64" s="225"/>
      <c r="R64" s="182"/>
      <c r="S64" s="214"/>
    </row>
    <row r="65" spans="2:19">
      <c r="B65" s="45"/>
      <c r="C65" s="196"/>
      <c r="D65" s="221"/>
      <c r="E65" s="200"/>
      <c r="F65" s="200"/>
      <c r="G65" s="199" t="s">
        <v>178</v>
      </c>
      <c r="H65" s="199"/>
      <c r="I65" s="199"/>
      <c r="J65" s="52" t="s">
        <v>41</v>
      </c>
      <c r="K65" s="209" t="s">
        <v>41</v>
      </c>
      <c r="L65" s="209"/>
      <c r="M65" s="199" t="s">
        <v>41</v>
      </c>
      <c r="N65" s="199"/>
      <c r="O65" s="49">
        <f>'Material Mass Calc.'!AD21</f>
        <v>1969.7365933119245</v>
      </c>
      <c r="P65" s="49">
        <f t="shared" si="18"/>
        <v>1.9697365933119244</v>
      </c>
      <c r="Q65" s="19">
        <f>Q63</f>
        <v>0.86</v>
      </c>
      <c r="R65" s="53">
        <f>P65*Q65*B63</f>
        <v>43304.737793426393</v>
      </c>
      <c r="S65" s="214"/>
    </row>
    <row r="66" spans="2:19">
      <c r="B66" s="45"/>
      <c r="C66" s="196"/>
      <c r="D66" s="221"/>
      <c r="E66" s="200"/>
      <c r="F66" s="200"/>
      <c r="G66" s="199" t="s">
        <v>142</v>
      </c>
      <c r="H66" s="199"/>
      <c r="I66" s="199"/>
      <c r="J66" s="38">
        <f>B61</f>
        <v>194.90318416523235</v>
      </c>
      <c r="K66" s="236">
        <v>1.4999999999999999E-2</v>
      </c>
      <c r="L66" s="236"/>
      <c r="M66" s="198">
        <v>9.9</v>
      </c>
      <c r="N66" s="198"/>
      <c r="O66" s="38">
        <f>J66*M66</f>
        <v>1929.5415232358002</v>
      </c>
      <c r="P66" s="49">
        <f t="shared" si="18"/>
        <v>1.9295415232358002</v>
      </c>
      <c r="Q66" s="19">
        <f>Q60</f>
        <v>0.35</v>
      </c>
      <c r="R66" s="53">
        <f>P66*Q66*B63</f>
        <v>17264.379824999996</v>
      </c>
      <c r="S66" s="214"/>
    </row>
    <row r="67" spans="2:19">
      <c r="B67" s="45"/>
      <c r="C67" s="196"/>
      <c r="D67" s="221"/>
      <c r="E67" s="200"/>
      <c r="F67" s="200"/>
      <c r="G67" s="199" t="s">
        <v>179</v>
      </c>
      <c r="H67" s="199"/>
      <c r="I67" s="199"/>
      <c r="J67" s="54" t="s">
        <v>41</v>
      </c>
      <c r="K67" s="199" t="s">
        <v>41</v>
      </c>
      <c r="L67" s="199"/>
      <c r="M67" s="184">
        <v>460</v>
      </c>
      <c r="N67" s="184"/>
      <c r="O67" s="38">
        <f>'Material Mass Calc.'!T33</f>
        <v>304.03125</v>
      </c>
      <c r="P67" s="49">
        <f t="shared" si="18"/>
        <v>0.30403124999999998</v>
      </c>
      <c r="Q67" s="19">
        <f>Q60</f>
        <v>0.35</v>
      </c>
      <c r="R67" s="53">
        <f>P67*Q67*B63</f>
        <v>2720.2892062499996</v>
      </c>
      <c r="S67" s="214"/>
    </row>
    <row r="68" spans="2:19">
      <c r="B68" s="45"/>
      <c r="C68" s="196"/>
      <c r="D68" s="221"/>
      <c r="E68" s="200"/>
      <c r="F68" s="200"/>
      <c r="G68" s="199" t="s">
        <v>180</v>
      </c>
      <c r="H68" s="199"/>
      <c r="I68" s="199"/>
      <c r="J68" s="50">
        <f>B61</f>
        <v>194.90318416523235</v>
      </c>
      <c r="K68" s="237" t="s">
        <v>41</v>
      </c>
      <c r="L68" s="237"/>
      <c r="M68" s="228">
        <v>5.93</v>
      </c>
      <c r="N68" s="228"/>
      <c r="O68" s="50">
        <f>J68*M68</f>
        <v>1155.7758820998279</v>
      </c>
      <c r="P68" s="51">
        <f t="shared" si="18"/>
        <v>1.1557758820998278</v>
      </c>
      <c r="Q68" s="19">
        <f>IF(B58=B51,L51*M51,IF(B58=B46,L46*M46,IF(B58=B41,L41*M41,IF(B58=B36,L36*M36,IF(B58=B31,L31*M31,IF(B58=B30,L30*M30,IF(B58=B29,L29*M29,"N/A")))))))</f>
        <v>0.1925</v>
      </c>
      <c r="R68" s="55">
        <f>P68*Q68*B63</f>
        <v>5687.654020125</v>
      </c>
      <c r="S68" s="215"/>
    </row>
    <row r="69" spans="2:19">
      <c r="B69" s="45"/>
      <c r="C69" s="196"/>
      <c r="D69" s="219" t="s">
        <v>181</v>
      </c>
      <c r="E69" s="220"/>
      <c r="F69" s="220"/>
      <c r="G69" s="223" t="s">
        <v>139</v>
      </c>
      <c r="H69" s="223"/>
      <c r="I69" s="223"/>
      <c r="J69" s="38">
        <f>J58</f>
        <v>251.6157228872633</v>
      </c>
      <c r="K69" s="224">
        <f>AVERAGE(0.4,0.55)/1000</f>
        <v>4.7500000000000005E-4</v>
      </c>
      <c r="L69" s="224"/>
      <c r="M69" s="184">
        <v>10000</v>
      </c>
      <c r="N69" s="184"/>
      <c r="O69" s="38">
        <f>J69*K69*M69</f>
        <v>1195.1746837145008</v>
      </c>
      <c r="P69" s="49">
        <f t="shared" si="18"/>
        <v>1.1951746837145008</v>
      </c>
      <c r="Q69" s="65">
        <f>IF(B58=B51,C51,IF(B58=B46,C46,IF(B58=B41,C41,IF(B58=B36,C36,IF(B58=B31,C31,IF(B58=B30,C30,IF(B58=B29,C29,"N/A")))))))</f>
        <v>0.71</v>
      </c>
      <c r="R69" s="38">
        <f>P69*Q69*B63</f>
        <v>21692.946386279022</v>
      </c>
      <c r="S69" s="214">
        <f>SUM(R69:R76)</f>
        <v>49537.748654137664</v>
      </c>
    </row>
    <row r="70" spans="2:19">
      <c r="B70" s="45"/>
      <c r="C70" s="196"/>
      <c r="D70" s="221"/>
      <c r="E70" s="200"/>
      <c r="F70" s="200"/>
      <c r="G70" s="199" t="s">
        <v>176</v>
      </c>
      <c r="H70" s="199"/>
      <c r="I70" s="199"/>
      <c r="J70" s="38">
        <f>J63</f>
        <v>167.61673838209981</v>
      </c>
      <c r="K70" s="209" t="s">
        <v>41</v>
      </c>
      <c r="L70" s="209"/>
      <c r="M70" s="198">
        <f>'Material Mass Calc.'!O19</f>
        <v>5.1834531249999998</v>
      </c>
      <c r="N70" s="198"/>
      <c r="O70" s="38">
        <f>J70*M70</f>
        <v>868.83350636900263</v>
      </c>
      <c r="P70" s="49">
        <f t="shared" si="18"/>
        <v>0.86883350636900258</v>
      </c>
      <c r="Q70" s="225">
        <f>IF(B58=B51,J51,IF(B58=B46,J46,IF(B58=B41,J41,IF(B58=B36,J36,IF(B58=B31,J31,IF(B58=B30,J30,IF(B58=B29,J29,"N/A")))))))</f>
        <v>0.14000000000000001</v>
      </c>
      <c r="R70" s="182">
        <f>(P70+P71)*Q70*B63</f>
        <v>6255.1979454664215</v>
      </c>
      <c r="S70" s="217"/>
    </row>
    <row r="71" spans="2:19">
      <c r="B71" s="45"/>
      <c r="C71" s="196"/>
      <c r="D71" s="221"/>
      <c r="E71" s="200"/>
      <c r="F71" s="200"/>
      <c r="G71" s="199" t="s">
        <v>177</v>
      </c>
      <c r="H71" s="199"/>
      <c r="I71" s="199"/>
      <c r="J71" s="38">
        <f>J64</f>
        <v>169.56577022375214</v>
      </c>
      <c r="K71" s="209" t="s">
        <v>41</v>
      </c>
      <c r="L71" s="209"/>
      <c r="M71" s="198">
        <f>M70</f>
        <v>5.1834531249999998</v>
      </c>
      <c r="N71" s="198"/>
      <c r="O71" s="38">
        <f>J71*M71</f>
        <v>878.93622155933997</v>
      </c>
      <c r="P71" s="49">
        <f t="shared" si="18"/>
        <v>0.87893622155933993</v>
      </c>
      <c r="Q71" s="225"/>
      <c r="R71" s="182"/>
      <c r="S71" s="217"/>
    </row>
    <row r="72" spans="2:19">
      <c r="B72" s="45"/>
      <c r="C72" s="196"/>
      <c r="D72" s="221"/>
      <c r="E72" s="200"/>
      <c r="F72" s="200"/>
      <c r="G72" s="199" t="s">
        <v>178</v>
      </c>
      <c r="H72" s="199"/>
      <c r="I72" s="199"/>
      <c r="J72" s="54" t="s">
        <v>41</v>
      </c>
      <c r="K72" s="209" t="s">
        <v>41</v>
      </c>
      <c r="L72" s="209"/>
      <c r="M72" s="199" t="s">
        <v>41</v>
      </c>
      <c r="N72" s="199"/>
      <c r="O72" s="38">
        <f>'Material Mass Calc.'!AD43</f>
        <v>748.71413121748969</v>
      </c>
      <c r="P72" s="49">
        <f t="shared" si="18"/>
        <v>0.74871413121748964</v>
      </c>
      <c r="Q72" s="19">
        <f>Q70</f>
        <v>0.14000000000000001</v>
      </c>
      <c r="R72" s="38">
        <f>P72*Q72*B63</f>
        <v>2679.6179270621469</v>
      </c>
      <c r="S72" s="217"/>
    </row>
    <row r="73" spans="2:19">
      <c r="B73" s="45"/>
      <c r="C73" s="196"/>
      <c r="D73" s="221"/>
      <c r="E73" s="200"/>
      <c r="F73" s="200"/>
      <c r="G73" s="243" t="s">
        <v>182</v>
      </c>
      <c r="H73" s="243"/>
      <c r="I73" s="243"/>
      <c r="J73" s="69">
        <f>J68</f>
        <v>194.90318416523235</v>
      </c>
      <c r="K73" s="243" t="s">
        <v>41</v>
      </c>
      <c r="L73" s="243"/>
      <c r="M73" s="198">
        <f>'Material Mass Calc.'!Y36</f>
        <v>2.9192187499999998</v>
      </c>
      <c r="N73" s="198"/>
      <c r="O73" s="38">
        <f t="shared" ref="O73:O78" si="19">J73*M73</f>
        <v>568.96502964984927</v>
      </c>
      <c r="P73" s="49">
        <f t="shared" si="18"/>
        <v>0.5689650296498493</v>
      </c>
      <c r="Q73" s="19">
        <f>IF(B58=B51,L51*N51,IF(B58=B46,L46*N46,IF(B58=B41,L41*N41,IF(B58=B36,L36*N36,IF(B58=B31,L31*N31,IF(B58=B30,L30*N30,IF(B58=B29,L29*N29,"N/A")))))))</f>
        <v>0.15749999999999997</v>
      </c>
      <c r="R73" s="38">
        <f>P73*Q73*B63</f>
        <v>2290.8409678300773</v>
      </c>
      <c r="S73" s="217"/>
    </row>
    <row r="74" spans="2:19">
      <c r="B74" s="45"/>
      <c r="C74" s="196"/>
      <c r="D74" s="221"/>
      <c r="E74" s="200"/>
      <c r="F74" s="200"/>
      <c r="G74" s="199" t="s">
        <v>183</v>
      </c>
      <c r="H74" s="199"/>
      <c r="I74" s="199"/>
      <c r="J74" s="38">
        <f>J61</f>
        <v>194.90318416523235</v>
      </c>
      <c r="K74" s="210" t="s">
        <v>41</v>
      </c>
      <c r="L74" s="210"/>
      <c r="M74" s="198">
        <v>2.27</v>
      </c>
      <c r="N74" s="198"/>
      <c r="O74" s="38">
        <f t="shared" si="19"/>
        <v>442.43022805507741</v>
      </c>
      <c r="P74" s="49">
        <f t="shared" si="18"/>
        <v>0.44243022805507742</v>
      </c>
      <c r="Q74" s="19">
        <f>Q61</f>
        <v>0.65</v>
      </c>
      <c r="R74" s="38">
        <f>P74*Q74*B63</f>
        <v>7351.6861275000001</v>
      </c>
      <c r="S74" s="217"/>
    </row>
    <row r="75" spans="2:19">
      <c r="B75" s="45"/>
      <c r="C75" s="196"/>
      <c r="D75" s="221"/>
      <c r="E75" s="200"/>
      <c r="F75" s="200"/>
      <c r="G75" s="199" t="s">
        <v>184</v>
      </c>
      <c r="H75" s="199"/>
      <c r="I75" s="199"/>
      <c r="J75" s="38">
        <f>J73</f>
        <v>194.90318416523235</v>
      </c>
      <c r="K75" s="210" t="s">
        <v>41</v>
      </c>
      <c r="L75" s="210"/>
      <c r="M75" s="198">
        <v>0.27</v>
      </c>
      <c r="N75" s="198"/>
      <c r="O75" s="38">
        <f t="shared" si="19"/>
        <v>52.623859724612736</v>
      </c>
      <c r="P75" s="49">
        <f t="shared" si="18"/>
        <v>5.2623859724612733E-2</v>
      </c>
      <c r="Q75" s="19">
        <f>IF(B58=B51,L51*S51,IF(B58=B46,L46*S46,IF(B58=B41,L41*S41,IF(B58=B36,L36*S36,IF(B58=B31,L31*S31,IF(B58=B30,L30*S30,IF(B58=B29,L29*S29,"N/A")))))))</f>
        <v>0</v>
      </c>
      <c r="R75" s="38">
        <f>P75*Q75*B63</f>
        <v>0</v>
      </c>
      <c r="S75" s="217"/>
    </row>
    <row r="76" spans="2:19">
      <c r="B76" s="45"/>
      <c r="C76" s="196"/>
      <c r="D76" s="222"/>
      <c r="E76" s="201"/>
      <c r="F76" s="201"/>
      <c r="G76" s="211" t="s">
        <v>185</v>
      </c>
      <c r="H76" s="211"/>
      <c r="I76" s="211"/>
      <c r="J76" s="50">
        <f>B61</f>
        <v>194.90318416523235</v>
      </c>
      <c r="K76" s="212" t="s">
        <v>41</v>
      </c>
      <c r="L76" s="212"/>
      <c r="M76" s="228">
        <v>1.86</v>
      </c>
      <c r="N76" s="228"/>
      <c r="O76" s="50">
        <f t="shared" si="19"/>
        <v>362.51992254733216</v>
      </c>
      <c r="P76" s="51">
        <f t="shared" si="18"/>
        <v>0.36251992254733217</v>
      </c>
      <c r="Q76" s="60">
        <f>1</f>
        <v>1</v>
      </c>
      <c r="R76" s="50">
        <f>P76*Q76*B63</f>
        <v>9267.4593000000004</v>
      </c>
      <c r="S76" s="218"/>
    </row>
    <row r="77" spans="2:19">
      <c r="B77" s="45"/>
      <c r="C77" s="196"/>
      <c r="D77" s="219" t="s">
        <v>38</v>
      </c>
      <c r="E77" s="220"/>
      <c r="F77" s="220"/>
      <c r="G77" s="199" t="s">
        <v>139</v>
      </c>
      <c r="H77" s="199"/>
      <c r="I77" s="199"/>
      <c r="J77" s="38">
        <f>J58</f>
        <v>251.6157228872633</v>
      </c>
      <c r="K77" s="210" t="s">
        <v>41</v>
      </c>
      <c r="L77" s="210"/>
      <c r="M77" s="241">
        <v>4.5</v>
      </c>
      <c r="N77" s="241"/>
      <c r="O77" s="38">
        <f t="shared" si="19"/>
        <v>1132.2707529926849</v>
      </c>
      <c r="P77" s="49">
        <f t="shared" si="18"/>
        <v>1.132270752992685</v>
      </c>
      <c r="Q77" s="65">
        <f>IF(B58=B51,E51,IF(B58=B46,E46,IF(B58=B41,E41,IF(B58=B36,E36,IF(B58=B31,E31,IF(B58=B30,E30,IF(B58=B29,E29,"N/A")))))))</f>
        <v>0.12</v>
      </c>
      <c r="R77" s="38">
        <f>P77*Q77*B63</f>
        <v>3473.4443435405997</v>
      </c>
      <c r="S77" s="214">
        <f>SUM(R77:R82)</f>
        <v>23252.834124318968</v>
      </c>
    </row>
    <row r="78" spans="2:19">
      <c r="B78" s="45"/>
      <c r="C78" s="196"/>
      <c r="D78" s="221"/>
      <c r="E78" s="200"/>
      <c r="F78" s="200"/>
      <c r="G78" s="243" t="s">
        <v>186</v>
      </c>
      <c r="H78" s="243"/>
      <c r="I78" s="243"/>
      <c r="J78" s="182">
        <f>B61</f>
        <v>194.90318416523235</v>
      </c>
      <c r="K78" s="260">
        <v>0.06</v>
      </c>
      <c r="L78" s="260"/>
      <c r="M78" s="261">
        <v>12</v>
      </c>
      <c r="N78" s="261"/>
      <c r="O78" s="58">
        <f t="shared" si="19"/>
        <v>2338.8382099827882</v>
      </c>
      <c r="P78" s="49">
        <f t="shared" ref="P78:P79" si="20">O78/1000</f>
        <v>2.338838209982788</v>
      </c>
      <c r="Q78" s="19">
        <f>IF(B58=B51,L51*Q51,IF(B58=B46,L46*Q46,IF(B58=B41,L41*Q41,IF(B58=B36,L36*Q36,IF(B58=B31,L31*Q31,IF(B58=B30,L30*Q30,IF(B58=B29,L29*Q29,"N/A")))))))</f>
        <v>0.26949999999999996</v>
      </c>
      <c r="R78" s="182">
        <f>(P78*Q78*B63)+(P79*Q79*B63)</f>
        <v>17693.871755999993</v>
      </c>
      <c r="S78" s="214"/>
    </row>
    <row r="79" spans="2:19">
      <c r="B79" s="45"/>
      <c r="C79" s="196"/>
      <c r="D79" s="221"/>
      <c r="E79" s="200"/>
      <c r="F79" s="200"/>
      <c r="G79" s="243"/>
      <c r="H79" s="243"/>
      <c r="I79" s="243"/>
      <c r="J79" s="182"/>
      <c r="K79" s="260">
        <v>0.05</v>
      </c>
      <c r="L79" s="260"/>
      <c r="M79" s="261">
        <v>16</v>
      </c>
      <c r="N79" s="261"/>
      <c r="O79" s="58">
        <f>J78*K79*M79</f>
        <v>155.9225473321859</v>
      </c>
      <c r="P79" s="49">
        <f t="shared" si="20"/>
        <v>0.15592254733218591</v>
      </c>
      <c r="Q79" s="19">
        <f>IF(B58=B51,K51*T51,IF(B58=B46,K46*T46,IF(B58=B41,K41*T41,IF(B58=B36,K36*T36,IF(B58=B31,K31*T31,IF(B58=B30,K30*T30,IF(B58=B29,K29*T29,"N/A")))))))</f>
        <v>0.39650000000000002</v>
      </c>
      <c r="R79" s="182"/>
      <c r="S79" s="214"/>
    </row>
    <row r="80" spans="2:19">
      <c r="B80" s="45"/>
      <c r="C80" s="196"/>
      <c r="D80" s="221"/>
      <c r="E80" s="200"/>
      <c r="F80" s="200"/>
      <c r="G80" s="199" t="s">
        <v>187</v>
      </c>
      <c r="H80" s="199"/>
      <c r="I80" s="199"/>
      <c r="J80" s="38">
        <f>B61</f>
        <v>194.90318416523235</v>
      </c>
      <c r="K80" s="207">
        <f>'Material Mass Calc.'!E52/1000</f>
        <v>0.1</v>
      </c>
      <c r="L80" s="207"/>
      <c r="M80" s="208">
        <f>'Material Mass Calc.'!D52</f>
        <v>7.5</v>
      </c>
      <c r="N80" s="208"/>
      <c r="O80" s="38">
        <f>J80*K80*M80</f>
        <v>146.17738812392429</v>
      </c>
      <c r="P80" s="49">
        <f t="shared" ref="P80:P107" si="21">O80/1000</f>
        <v>0.14617738812392428</v>
      </c>
      <c r="Q80" s="19">
        <f>IF(B58=B51,L51*R51,IF(B58=B46,L46*R46,IF(B58=B41,L41*R41,IF(B58=B36,L36*R36,IF(B58=B31,L31*R31,IF(B58=B30,L30*R30,IF(B58=B29,L29*R29,"N/A")))))))</f>
        <v>8.0500000000000002E-2</v>
      </c>
      <c r="R80" s="38">
        <f>P80*Q80*B63</f>
        <v>300.81873937500006</v>
      </c>
      <c r="S80" s="214"/>
    </row>
    <row r="81" spans="2:19">
      <c r="B81" s="45"/>
      <c r="C81" s="196"/>
      <c r="D81" s="221"/>
      <c r="E81" s="200"/>
      <c r="F81" s="200"/>
      <c r="G81" s="199" t="s">
        <v>188</v>
      </c>
      <c r="H81" s="199"/>
      <c r="I81" s="199"/>
      <c r="J81" s="38">
        <f>J86</f>
        <v>130.58513339070566</v>
      </c>
      <c r="K81" s="207">
        <f>'Material Mass Calc.'!E42/1000</f>
        <v>0.115</v>
      </c>
      <c r="L81" s="207"/>
      <c r="M81" s="184">
        <f>'Material Mass Calc.'!D42</f>
        <v>16.734999999999999</v>
      </c>
      <c r="N81" s="184"/>
      <c r="O81" s="38">
        <f>J81*K81*M81</f>
        <v>251.31435383874782</v>
      </c>
      <c r="P81" s="49">
        <f t="shared" si="21"/>
        <v>0.25131435383874784</v>
      </c>
      <c r="Q81" s="225">
        <f>IF(B58=B51,P51,IF(B58=B46,P46,IF(B58=B41,P41,IF(B58=B36,P36,IF(B58=B31,P31,IF(B58=B30,P30,IF(B58=B29,P29,"N/A")))))))</f>
        <v>9.9999999999999978E-2</v>
      </c>
      <c r="R81" s="182">
        <f>(P81+P82)*Q81*B63</f>
        <v>1784.699285403374</v>
      </c>
      <c r="S81" s="217"/>
    </row>
    <row r="82" spans="2:19">
      <c r="B82" s="45"/>
      <c r="C82" s="196"/>
      <c r="D82" s="222"/>
      <c r="E82" s="201"/>
      <c r="F82" s="201"/>
      <c r="G82" s="199" t="s">
        <v>189</v>
      </c>
      <c r="H82" s="199"/>
      <c r="I82" s="199"/>
      <c r="J82" s="50">
        <f>B61</f>
        <v>194.90318416523235</v>
      </c>
      <c r="K82" s="242">
        <f>'Material Mass Calc.'!E47/1000</f>
        <v>0.17499999999999999</v>
      </c>
      <c r="L82" s="242"/>
      <c r="M82" s="231">
        <f>'Material Mass Calc.'!D47</f>
        <v>13.1</v>
      </c>
      <c r="N82" s="231"/>
      <c r="O82" s="50">
        <f>J82*K82*M82</f>
        <v>446.81554969879505</v>
      </c>
      <c r="P82" s="51">
        <f t="shared" si="21"/>
        <v>0.44681554969879506</v>
      </c>
      <c r="Q82" s="257"/>
      <c r="R82" s="213"/>
      <c r="S82" s="218"/>
    </row>
    <row r="83" spans="2:19">
      <c r="B83" s="45"/>
      <c r="C83" s="196"/>
      <c r="D83" s="233" t="s">
        <v>39</v>
      </c>
      <c r="E83" s="234"/>
      <c r="F83" s="234"/>
      <c r="G83" s="204" t="s">
        <v>190</v>
      </c>
      <c r="H83" s="204"/>
      <c r="I83" s="204"/>
      <c r="J83" s="50">
        <f>0.2*B61</f>
        <v>38.980636833046475</v>
      </c>
      <c r="K83" s="235">
        <v>4.4999999999999997E-3</v>
      </c>
      <c r="L83" s="235"/>
      <c r="M83" s="231">
        <v>2500</v>
      </c>
      <c r="N83" s="231"/>
      <c r="O83" s="50">
        <f>J83*K83*M83*2</f>
        <v>877.06432874354562</v>
      </c>
      <c r="P83" s="51">
        <f t="shared" si="21"/>
        <v>0.87706432874354556</v>
      </c>
      <c r="Q83" s="66">
        <f>IF(OR(B58=B51,B58=B46,B58=B41),1,0.3+0.5*0.7)</f>
        <v>1</v>
      </c>
      <c r="R83" s="50">
        <f>P83*Q83*B63</f>
        <v>22421.272499999999</v>
      </c>
      <c r="S83" s="63">
        <f>R83</f>
        <v>22421.272499999999</v>
      </c>
    </row>
    <row r="84" spans="2:19">
      <c r="B84" s="45"/>
      <c r="C84" s="196"/>
      <c r="D84" s="238" t="s">
        <v>35</v>
      </c>
      <c r="E84" s="239"/>
      <c r="F84" s="239"/>
      <c r="G84" s="199" t="s">
        <v>191</v>
      </c>
      <c r="H84" s="199"/>
      <c r="I84" s="199"/>
      <c r="J84" s="50">
        <f>J64+(2*J63)-J83+J66-(4.75*2.1)</f>
        <v>650.74679432013761</v>
      </c>
      <c r="K84" s="205" t="s">
        <v>41</v>
      </c>
      <c r="L84" s="205"/>
      <c r="M84" s="240">
        <v>6.5</v>
      </c>
      <c r="N84" s="240"/>
      <c r="O84" s="50">
        <f>J84*M84</f>
        <v>4229.8541630808941</v>
      </c>
      <c r="P84" s="51">
        <f t="shared" si="21"/>
        <v>4.2298541630808941</v>
      </c>
      <c r="Q84" s="66">
        <f>1</f>
        <v>1</v>
      </c>
      <c r="R84" s="50">
        <f>P84*Q84*B63</f>
        <v>108131.99182499998</v>
      </c>
      <c r="S84" s="63">
        <f>R84</f>
        <v>108131.99182499998</v>
      </c>
    </row>
    <row r="85" spans="2:19">
      <c r="B85" s="45"/>
      <c r="C85" s="196"/>
      <c r="D85" s="219" t="s">
        <v>192</v>
      </c>
      <c r="E85" s="220"/>
      <c r="F85" s="220"/>
      <c r="G85" s="223" t="s">
        <v>193</v>
      </c>
      <c r="H85" s="223"/>
      <c r="I85" s="223"/>
      <c r="J85" s="38">
        <f>B61</f>
        <v>194.90318416523235</v>
      </c>
      <c r="K85" s="198">
        <v>0.18</v>
      </c>
      <c r="L85" s="198"/>
      <c r="M85" s="232">
        <v>7.4</v>
      </c>
      <c r="N85" s="232"/>
      <c r="O85" s="38">
        <f>J85*K85*M85</f>
        <v>259.61104130808945</v>
      </c>
      <c r="P85" s="49">
        <f t="shared" si="21"/>
        <v>0.25961104130808943</v>
      </c>
      <c r="Q85" s="258">
        <f>IF(B58=B51,O51,IF(B58=B46,O46,IF(B58=B41,O41,IF(B58=B36,O36,IF(B58=B31,O31,IF(B58=B30,O30,IF(B58=B29,O29,"N/A")))))))</f>
        <v>0.9</v>
      </c>
      <c r="R85" s="182">
        <f>(P85+P86)*Q85*B63</f>
        <v>9028.5531677549989</v>
      </c>
      <c r="S85" s="214">
        <f>R85</f>
        <v>9028.5531677549989</v>
      </c>
    </row>
    <row r="86" spans="2:19">
      <c r="B86" s="45"/>
      <c r="C86" s="196"/>
      <c r="D86" s="222"/>
      <c r="E86" s="201"/>
      <c r="F86" s="201"/>
      <c r="G86" s="211" t="s">
        <v>194</v>
      </c>
      <c r="H86" s="211"/>
      <c r="I86" s="211"/>
      <c r="J86" s="50">
        <f>J62</f>
        <v>130.58513339070566</v>
      </c>
      <c r="K86" s="216">
        <v>0.09</v>
      </c>
      <c r="L86" s="216"/>
      <c r="M86" s="206">
        <v>11.3</v>
      </c>
      <c r="N86" s="206"/>
      <c r="O86" s="50">
        <f>J86*K86*M86</f>
        <v>132.80508065834766</v>
      </c>
      <c r="P86" s="51">
        <f t="shared" si="21"/>
        <v>0.13280508065834767</v>
      </c>
      <c r="Q86" s="257"/>
      <c r="R86" s="213"/>
      <c r="S86" s="215"/>
    </row>
    <row r="87" spans="2:19">
      <c r="B87" s="45"/>
      <c r="C87" s="196"/>
      <c r="D87" s="202" t="s">
        <v>195</v>
      </c>
      <c r="E87" s="203"/>
      <c r="F87" s="203"/>
      <c r="G87" s="204" t="s">
        <v>140</v>
      </c>
      <c r="H87" s="204"/>
      <c r="I87" s="204"/>
      <c r="J87" s="50">
        <f>J62</f>
        <v>130.58513339070566</v>
      </c>
      <c r="K87" s="205" t="s">
        <v>41</v>
      </c>
      <c r="L87" s="205"/>
      <c r="M87" s="206">
        <v>13.6</v>
      </c>
      <c r="N87" s="206"/>
      <c r="O87" s="50">
        <f>J87*M87</f>
        <v>1775.9578141135969</v>
      </c>
      <c r="P87" s="51">
        <f t="shared" si="21"/>
        <v>1.775957814113597</v>
      </c>
      <c r="Q87" s="66">
        <f>IF(B58=B51,H51,IF(B58=B46,H46,IF(B58=B41,H41,IF(B58=B36,H36,IF(B58=B31,H31,IF(B58=B30,H30,IF(B58=B29,H29,"N/A")))))))</f>
        <v>0.42749999999999999</v>
      </c>
      <c r="R87" s="55">
        <f>P87*Q87*B63</f>
        <v>19408.750326899997</v>
      </c>
      <c r="S87" s="63">
        <f>R87</f>
        <v>19408.750326899997</v>
      </c>
    </row>
    <row r="88" spans="2:19">
      <c r="B88" s="62">
        <v>2021</v>
      </c>
      <c r="C88" s="195" t="s">
        <v>134</v>
      </c>
      <c r="D88" s="219" t="s">
        <v>169</v>
      </c>
      <c r="E88" s="220"/>
      <c r="F88" s="220"/>
      <c r="G88" s="223" t="s">
        <v>170</v>
      </c>
      <c r="H88" s="223"/>
      <c r="I88" s="223"/>
      <c r="J88" s="38">
        <f>1.1034*B91*1.17</f>
        <v>140.58188884679663</v>
      </c>
      <c r="K88" s="210" t="s">
        <v>41</v>
      </c>
      <c r="L88" s="210"/>
      <c r="M88" s="184">
        <v>55</v>
      </c>
      <c r="N88" s="184"/>
      <c r="O88" s="38">
        <f>J88*M88</f>
        <v>7732.0038865738143</v>
      </c>
      <c r="P88" s="49">
        <f t="shared" si="21"/>
        <v>7.7320038865738141</v>
      </c>
      <c r="Q88" s="65">
        <f>IF(B88=B51,D51,IF(B88=B46,D46,IF(B88=B41,D41,IF(B88=B36,D36,IF(B88=B31,D31,IF(B88=B30,D30,IF(B88=B29,D29,"N/A")))))))</f>
        <v>0.17</v>
      </c>
      <c r="R88" s="38">
        <f>P88*Q88*B93</f>
        <v>30672.472817843995</v>
      </c>
      <c r="S88" s="214">
        <f>SUM(R88:R91)</f>
        <v>522716.58520734403</v>
      </c>
    </row>
    <row r="89" spans="2:19">
      <c r="B89" s="45"/>
      <c r="C89" s="196"/>
      <c r="D89" s="221"/>
      <c r="E89" s="200"/>
      <c r="F89" s="200"/>
      <c r="G89" s="199" t="s">
        <v>171</v>
      </c>
      <c r="H89" s="199"/>
      <c r="I89" s="199"/>
      <c r="J89" s="38">
        <f>(0.87*B91)-J113</f>
        <v>72.960085708163703</v>
      </c>
      <c r="K89" s="198">
        <v>7.0000000000000007E-2</v>
      </c>
      <c r="L89" s="198"/>
      <c r="M89" s="184">
        <v>1679</v>
      </c>
      <c r="N89" s="184"/>
      <c r="O89" s="38">
        <f>J89*K89*M89</f>
        <v>8574.9988732804813</v>
      </c>
      <c r="P89" s="49">
        <f t="shared" si="21"/>
        <v>8.5749988732804816</v>
      </c>
      <c r="Q89" s="19">
        <f>IF(B88=B51,F51,IF(B88=B46,F46,IF(B88=B41,F41,IF(B88=B36,F36,IF(B88=B31,F31,IF(B88=B30,F30,IF(B88=B29,F29,"N/A")))))))</f>
        <v>0.25</v>
      </c>
      <c r="R89" s="38">
        <f>P89*Q89*B93</f>
        <v>50024.399677000009</v>
      </c>
      <c r="S89" s="214"/>
    </row>
    <row r="90" spans="2:19">
      <c r="B90" s="130" t="s">
        <v>172</v>
      </c>
      <c r="C90" s="196"/>
      <c r="D90" s="221"/>
      <c r="E90" s="200"/>
      <c r="F90" s="200"/>
      <c r="G90" s="199" t="s">
        <v>173</v>
      </c>
      <c r="H90" s="199"/>
      <c r="I90" s="199"/>
      <c r="J90" s="54" t="s">
        <v>41</v>
      </c>
      <c r="K90" s="229" t="s">
        <v>41</v>
      </c>
      <c r="L90" s="229"/>
      <c r="M90" s="230" t="s">
        <v>41</v>
      </c>
      <c r="N90" s="230"/>
      <c r="O90" s="38">
        <f>'Material Mass Calc.'!T73</f>
        <v>5584.65</v>
      </c>
      <c r="P90" s="49">
        <f t="shared" si="21"/>
        <v>5.5846499999999999</v>
      </c>
      <c r="Q90" s="19">
        <f>IF(B88=B51,L51,IF(B88=B46,L46,IF(B88=B41,L41,IF(B88=B36,L36,IF(B88=B31,L31,IF(B88=B30,L30,IF(B88=B29,L29,"N/A")))))))</f>
        <v>0.35</v>
      </c>
      <c r="R90" s="38">
        <f>P90*Q90*B93</f>
        <v>45611.232712499994</v>
      </c>
      <c r="S90" s="214"/>
    </row>
    <row r="91" spans="2:19">
      <c r="B91" s="141">
        <f>IF(B88=L11,L16,IF(B88=K11,K16,IF(B88=J11,J16,IF(B88=I11,I16,IF(B88=H11,H16,IF(B88=G11,G16,IF(B88=F11,F16,"N/A")))))))</f>
        <v>108.89565031069209</v>
      </c>
      <c r="C91" s="196"/>
      <c r="D91" s="222"/>
      <c r="E91" s="201"/>
      <c r="F91" s="201"/>
      <c r="G91" s="211" t="s">
        <v>174</v>
      </c>
      <c r="H91" s="211"/>
      <c r="I91" s="211"/>
      <c r="J91" s="50">
        <f>B91</f>
        <v>108.89565031069209</v>
      </c>
      <c r="K91" s="216">
        <v>0.1</v>
      </c>
      <c r="L91" s="216"/>
      <c r="M91" s="231">
        <v>2400</v>
      </c>
      <c r="N91" s="231"/>
      <c r="O91" s="50">
        <f>J91*K91*M91</f>
        <v>26134.956074566104</v>
      </c>
      <c r="P91" s="51">
        <f t="shared" si="21"/>
        <v>26.134956074566105</v>
      </c>
      <c r="Q91" s="60">
        <f>IF(B88=B51,K51,IF(B88=B46,K46,IF(B88=B41,K41,IF(B88=B36,K36,IF(B88=B31,K31,IF(B88=B30,K30,IF(B88=B29,K29,"N/A")))))))</f>
        <v>0.65</v>
      </c>
      <c r="R91" s="50">
        <f>P91*Q91*B93</f>
        <v>396408.48000000004</v>
      </c>
      <c r="S91" s="215"/>
    </row>
    <row r="92" spans="2:19">
      <c r="B92" s="130" t="s">
        <v>175</v>
      </c>
      <c r="C92" s="196"/>
      <c r="D92" s="219" t="s">
        <v>30</v>
      </c>
      <c r="E92" s="220"/>
      <c r="F92" s="220"/>
      <c r="G92" s="223" t="s">
        <v>140</v>
      </c>
      <c r="H92" s="223"/>
      <c r="I92" s="223"/>
      <c r="J92" s="38">
        <f>J89</f>
        <v>72.960085708163703</v>
      </c>
      <c r="K92" s="236">
        <v>1.4999999999999999E-2</v>
      </c>
      <c r="L92" s="236"/>
      <c r="M92" s="184">
        <v>510</v>
      </c>
      <c r="N92" s="184"/>
      <c r="O92" s="38">
        <f>J92*K92*M92</f>
        <v>558.1446556674523</v>
      </c>
      <c r="P92" s="49">
        <f t="shared" si="21"/>
        <v>0.55814465566745231</v>
      </c>
      <c r="Q92" s="19">
        <f>IF(B88=B51,G51,IF(B88=B46,G46,IF(B88=B41,G41,IF(B88=B36,G36,IF(B88=B31,G31,IF(B88=B30,G30,IF(B88=B29,G29,"N/A")))))))</f>
        <v>0.32250000000000001</v>
      </c>
      <c r="R92" s="38">
        <f>P92*Q92*B93</f>
        <v>4200.3385366499997</v>
      </c>
      <c r="S92" s="214">
        <f>SUM(R92:R98)</f>
        <v>69044.231981476085</v>
      </c>
    </row>
    <row r="93" spans="2:19">
      <c r="B93" s="130">
        <f>IF(B88=L11,L15,IF(B88=K11,K15,IF(B88=J11,J15,IF(B88=I11,I15,IF(B88=H11,H15,IF(B88=G11,G15,IF(B88=F11,F15,"N/A")))))))</f>
        <v>23335</v>
      </c>
      <c r="C93" s="196"/>
      <c r="D93" s="221"/>
      <c r="E93" s="200"/>
      <c r="F93" s="200"/>
      <c r="G93" s="199" t="s">
        <v>176</v>
      </c>
      <c r="H93" s="199"/>
      <c r="I93" s="199"/>
      <c r="J93" s="38">
        <f>0.86*B91</f>
        <v>93.650259267195196</v>
      </c>
      <c r="K93" s="210" t="s">
        <v>41</v>
      </c>
      <c r="L93" s="210"/>
      <c r="M93" s="198">
        <f>M63</f>
        <v>8.0058139534883708</v>
      </c>
      <c r="N93" s="198"/>
      <c r="O93" s="38">
        <f>J93*M93</f>
        <v>749.74655238911487</v>
      </c>
      <c r="P93" s="49">
        <f t="shared" si="21"/>
        <v>0.74974655238911492</v>
      </c>
      <c r="Q93" s="225">
        <f>IF(B88=B51,I51,IF(B88=B46,I46,IF(B88=B41,I41,IF(B88=B36,I36,IF(B88=B31,I31,IF(B88=B30,I30,IF(B88=B29,I29,"N/A")))))))</f>
        <v>0.86</v>
      </c>
      <c r="R93" s="182">
        <f>(P93+P94)*Q93*B93</f>
        <v>31630.473667912498</v>
      </c>
      <c r="S93" s="214"/>
    </row>
    <row r="94" spans="2:19">
      <c r="B94" s="45"/>
      <c r="C94" s="196"/>
      <c r="D94" s="221"/>
      <c r="E94" s="200"/>
      <c r="F94" s="200"/>
      <c r="G94" s="199" t="s">
        <v>177</v>
      </c>
      <c r="H94" s="199"/>
      <c r="I94" s="199"/>
      <c r="J94" s="38">
        <f>0.87*B91</f>
        <v>94.739215770302124</v>
      </c>
      <c r="K94" s="209" t="s">
        <v>41</v>
      </c>
      <c r="L94" s="209"/>
      <c r="M94" s="198">
        <f>M64</f>
        <v>8.7230014534883722</v>
      </c>
      <c r="N94" s="198"/>
      <c r="O94" s="38">
        <f>J94*M94</f>
        <v>826.41031686669396</v>
      </c>
      <c r="P94" s="49">
        <f t="shared" si="21"/>
        <v>0.82641031686669397</v>
      </c>
      <c r="Q94" s="225"/>
      <c r="R94" s="182"/>
      <c r="S94" s="214"/>
    </row>
    <row r="95" spans="2:19">
      <c r="B95" s="45"/>
      <c r="C95" s="196"/>
      <c r="D95" s="221"/>
      <c r="E95" s="200"/>
      <c r="F95" s="200"/>
      <c r="G95" s="199" t="s">
        <v>178</v>
      </c>
      <c r="H95" s="199"/>
      <c r="I95" s="199"/>
      <c r="J95" s="52" t="s">
        <v>41</v>
      </c>
      <c r="K95" s="209" t="s">
        <v>41</v>
      </c>
      <c r="L95" s="209"/>
      <c r="M95" s="226" t="s">
        <v>41</v>
      </c>
      <c r="N95" s="226"/>
      <c r="O95" s="38">
        <f>'Material Mass Calc.'!AI21</f>
        <v>1100.5245921874061</v>
      </c>
      <c r="P95" s="49">
        <f t="shared" si="21"/>
        <v>1.1005245921874061</v>
      </c>
      <c r="Q95" s="19">
        <f>Q63</f>
        <v>0.86</v>
      </c>
      <c r="R95" s="53">
        <f>P95*Q95*B93</f>
        <v>22085.437568476085</v>
      </c>
      <c r="S95" s="214"/>
    </row>
    <row r="96" spans="2:19">
      <c r="B96" s="45"/>
      <c r="C96" s="196"/>
      <c r="D96" s="221"/>
      <c r="E96" s="200"/>
      <c r="F96" s="200"/>
      <c r="G96" s="199" t="s">
        <v>142</v>
      </c>
      <c r="H96" s="199"/>
      <c r="I96" s="199"/>
      <c r="J96" s="38">
        <f>B91</f>
        <v>108.89565031069209</v>
      </c>
      <c r="K96" s="236">
        <v>1.4999999999999999E-2</v>
      </c>
      <c r="L96" s="236"/>
      <c r="M96" s="184">
        <v>500</v>
      </c>
      <c r="N96" s="184"/>
      <c r="O96" s="38">
        <f>J96*K96*M96</f>
        <v>816.71737733019063</v>
      </c>
      <c r="P96" s="49">
        <f t="shared" si="21"/>
        <v>0.81671737733019067</v>
      </c>
      <c r="Q96" s="19">
        <f>Q60</f>
        <v>0.35</v>
      </c>
      <c r="R96" s="38">
        <f>P96*Q96*B93</f>
        <v>6670.3349999999991</v>
      </c>
      <c r="S96" s="214"/>
    </row>
    <row r="97" spans="2:19">
      <c r="B97" s="45"/>
      <c r="C97" s="196"/>
      <c r="D97" s="221"/>
      <c r="E97" s="200"/>
      <c r="F97" s="200"/>
      <c r="G97" s="199" t="s">
        <v>179</v>
      </c>
      <c r="H97" s="199"/>
      <c r="I97" s="199"/>
      <c r="J97" s="54" t="s">
        <v>41</v>
      </c>
      <c r="K97" s="243" t="s">
        <v>41</v>
      </c>
      <c r="L97" s="243"/>
      <c r="M97" s="230" t="s">
        <v>41</v>
      </c>
      <c r="N97" s="230"/>
      <c r="O97" s="38">
        <f>'Material Mass Calc.'!T70</f>
        <v>217.78125000000006</v>
      </c>
      <c r="P97" s="49">
        <f t="shared" si="21"/>
        <v>0.21778125000000007</v>
      </c>
      <c r="Q97" s="19">
        <f>Q60</f>
        <v>0.35</v>
      </c>
      <c r="R97" s="38">
        <f>P97*Q97*B93</f>
        <v>1778.6739140625004</v>
      </c>
      <c r="S97" s="214"/>
    </row>
    <row r="98" spans="2:19">
      <c r="B98" s="45"/>
      <c r="C98" s="196"/>
      <c r="D98" s="221"/>
      <c r="E98" s="200"/>
      <c r="F98" s="200"/>
      <c r="G98" s="199" t="s">
        <v>180</v>
      </c>
      <c r="H98" s="199"/>
      <c r="I98" s="199"/>
      <c r="J98" s="50">
        <f>J96</f>
        <v>108.89565031069209</v>
      </c>
      <c r="K98" s="237" t="s">
        <v>41</v>
      </c>
      <c r="L98" s="237"/>
      <c r="M98" s="228">
        <f>'Material Mass Calc.'!Y18</f>
        <v>5.4767045454545462</v>
      </c>
      <c r="N98" s="228"/>
      <c r="O98" s="50">
        <f>J98*M98</f>
        <v>596.38930303679615</v>
      </c>
      <c r="P98" s="51">
        <f t="shared" si="21"/>
        <v>0.59638930303679616</v>
      </c>
      <c r="Q98" s="19">
        <f>IF(B88=B51,L51*M51,IF(B88=B46,L46*M46,IF(B88=B41,L41*M41,IF(B88=B36,L36*M36,IF(B88=B31,L31*M31,IF(B88=B30,L30*M30,IF(B88=B29,L29*M29,"N/A")))))))</f>
        <v>0.1925</v>
      </c>
      <c r="R98" s="50">
        <f>P98*Q98*B93</f>
        <v>2678.9732943750005</v>
      </c>
      <c r="S98" s="215"/>
    </row>
    <row r="99" spans="2:19">
      <c r="B99" s="45"/>
      <c r="C99" s="196"/>
      <c r="D99" s="219" t="s">
        <v>181</v>
      </c>
      <c r="E99" s="220"/>
      <c r="F99" s="220"/>
      <c r="G99" s="223" t="s">
        <v>139</v>
      </c>
      <c r="H99" s="223"/>
      <c r="I99" s="223"/>
      <c r="J99" s="38">
        <f>J88</f>
        <v>140.58188884679663</v>
      </c>
      <c r="K99" s="224">
        <f>AVERAGE(0.4,0.55)/1000</f>
        <v>4.7500000000000005E-4</v>
      </c>
      <c r="L99" s="224"/>
      <c r="M99" s="184">
        <v>10000</v>
      </c>
      <c r="N99" s="184"/>
      <c r="O99" s="38">
        <f>J99*K99*M99</f>
        <v>667.76397202228407</v>
      </c>
      <c r="P99" s="49">
        <f t="shared" si="21"/>
        <v>0.6677639720222841</v>
      </c>
      <c r="Q99" s="65">
        <f>IF(B88=B51,C51,IF(B88=B46,C46,IF(B88=B41,C41,IF(B88=B36,C36,IF(B88=B31,C31,IF(B88=B30,C30,IF(B88=B29,C29,"N/A")))))))</f>
        <v>0.71</v>
      </c>
      <c r="R99" s="38">
        <f>P99*Q99*B93</f>
        <v>11063.413323869399</v>
      </c>
      <c r="S99" s="214">
        <f>SUM(R99:R106)</f>
        <v>25264.276172338239</v>
      </c>
    </row>
    <row r="100" spans="2:19">
      <c r="B100" s="45"/>
      <c r="C100" s="196"/>
      <c r="D100" s="221"/>
      <c r="E100" s="200"/>
      <c r="F100" s="200"/>
      <c r="G100" s="199" t="s">
        <v>176</v>
      </c>
      <c r="H100" s="199"/>
      <c r="I100" s="199"/>
      <c r="J100" s="38">
        <f>J93</f>
        <v>93.650259267195196</v>
      </c>
      <c r="K100" s="209" t="s">
        <v>41</v>
      </c>
      <c r="L100" s="209"/>
      <c r="M100" s="198">
        <f>M70</f>
        <v>5.1834531249999998</v>
      </c>
      <c r="N100" s="198"/>
      <c r="O100" s="38">
        <f>J100*M100</f>
        <v>485.43172905560311</v>
      </c>
      <c r="P100" s="49">
        <f t="shared" si="21"/>
        <v>0.48543172905560311</v>
      </c>
      <c r="Q100" s="225">
        <f>IF(B88=B51,J51,IF(B88=B46,J46,IF(B88=B41,J41,IF(B88=B36,J36,IF(B88=B31,J31,IF(B88=B30,J30,IF(B88=B29,J29,"N/A")))))))</f>
        <v>0.14000000000000001</v>
      </c>
      <c r="R100" s="182">
        <f>(P100+P101)*Q100*B93</f>
        <v>3190.154027997125</v>
      </c>
      <c r="S100" s="217"/>
    </row>
    <row r="101" spans="2:19">
      <c r="B101" s="45"/>
      <c r="C101" s="196"/>
      <c r="D101" s="221"/>
      <c r="E101" s="200"/>
      <c r="F101" s="200"/>
      <c r="G101" s="199" t="s">
        <v>177</v>
      </c>
      <c r="H101" s="199"/>
      <c r="I101" s="199"/>
      <c r="J101" s="38">
        <f>J94</f>
        <v>94.739215770302124</v>
      </c>
      <c r="K101" s="209" t="s">
        <v>41</v>
      </c>
      <c r="L101" s="209"/>
      <c r="M101" s="198">
        <f>M71</f>
        <v>5.1834531249999998</v>
      </c>
      <c r="N101" s="198"/>
      <c r="O101" s="38">
        <f>J101*M101</f>
        <v>491.07628404462179</v>
      </c>
      <c r="P101" s="49">
        <f t="shared" si="21"/>
        <v>0.49107628404462178</v>
      </c>
      <c r="Q101" s="225"/>
      <c r="R101" s="182"/>
      <c r="S101" s="217"/>
    </row>
    <row r="102" spans="2:19">
      <c r="B102" s="45"/>
      <c r="C102" s="196"/>
      <c r="D102" s="221"/>
      <c r="E102" s="200"/>
      <c r="F102" s="200"/>
      <c r="G102" s="199" t="s">
        <v>178</v>
      </c>
      <c r="H102" s="199"/>
      <c r="I102" s="199"/>
      <c r="J102" s="54" t="s">
        <v>41</v>
      </c>
      <c r="K102" s="209" t="s">
        <v>41</v>
      </c>
      <c r="L102" s="209"/>
      <c r="M102" s="226" t="s">
        <v>41</v>
      </c>
      <c r="N102" s="226"/>
      <c r="O102" s="38">
        <f>'Material Mass Calc.'!AI43</f>
        <v>418.31903652540404</v>
      </c>
      <c r="P102" s="49">
        <f t="shared" si="21"/>
        <v>0.41831903652540403</v>
      </c>
      <c r="Q102" s="19">
        <f>Q70</f>
        <v>0.14000000000000001</v>
      </c>
      <c r="R102" s="38">
        <f>P102*Q102*B93</f>
        <v>1366.6064604248425</v>
      </c>
      <c r="S102" s="217"/>
    </row>
    <row r="103" spans="2:19">
      <c r="B103" s="45"/>
      <c r="C103" s="196"/>
      <c r="D103" s="221"/>
      <c r="E103" s="200"/>
      <c r="F103" s="200"/>
      <c r="G103" s="199" t="s">
        <v>182</v>
      </c>
      <c r="H103" s="199"/>
      <c r="I103" s="199"/>
      <c r="J103" s="69">
        <f>J98</f>
        <v>108.89565031069209</v>
      </c>
      <c r="K103" s="199" t="s">
        <v>41</v>
      </c>
      <c r="L103" s="199"/>
      <c r="M103" s="227">
        <f>'Material Mass Calc.'!Y36</f>
        <v>2.9192187499999998</v>
      </c>
      <c r="N103" s="227"/>
      <c r="O103" s="38">
        <f>J103*M103</f>
        <v>317.89022418041566</v>
      </c>
      <c r="P103" s="49">
        <f t="shared" si="21"/>
        <v>0.31789022418041568</v>
      </c>
      <c r="Q103" s="19">
        <f>IF(B88=B51,L51*N51,IF(B88=B46,L46*N46,IF(B88=B41,L41*N41,IF(B88=B36,L36*N36,IF(B88=B31,L31*N31,IF(B88=B30,L30*N30,IF(B88=B29,L29*N29,"N/A")))))))</f>
        <v>0.15749999999999997</v>
      </c>
      <c r="R103" s="38">
        <f>P103*Q103*B93</f>
        <v>1168.3300200468748</v>
      </c>
      <c r="S103" s="217"/>
    </row>
    <row r="104" spans="2:19">
      <c r="B104" s="45"/>
      <c r="C104" s="196"/>
      <c r="D104" s="221"/>
      <c r="E104" s="200"/>
      <c r="F104" s="200"/>
      <c r="G104" s="199" t="s">
        <v>183</v>
      </c>
      <c r="H104" s="199"/>
      <c r="I104" s="199"/>
      <c r="J104" s="38">
        <f>J91</f>
        <v>108.89565031069209</v>
      </c>
      <c r="K104" s="210" t="s">
        <v>41</v>
      </c>
      <c r="L104" s="210"/>
      <c r="M104" s="198">
        <v>2.27</v>
      </c>
      <c r="N104" s="198"/>
      <c r="O104" s="38">
        <f>J104*M104</f>
        <v>247.19312620527106</v>
      </c>
      <c r="P104" s="49">
        <f t="shared" si="21"/>
        <v>0.24719312620527106</v>
      </c>
      <c r="Q104" s="19">
        <f>Q61</f>
        <v>0.65</v>
      </c>
      <c r="R104" s="38">
        <f>P104*Q104*B93</f>
        <v>3749.3635400000003</v>
      </c>
      <c r="S104" s="217"/>
    </row>
    <row r="105" spans="2:19">
      <c r="B105" s="45"/>
      <c r="C105" s="196"/>
      <c r="D105" s="221"/>
      <c r="E105" s="200"/>
      <c r="F105" s="200"/>
      <c r="G105" s="199" t="s">
        <v>184</v>
      </c>
      <c r="H105" s="199"/>
      <c r="I105" s="199"/>
      <c r="J105" s="38">
        <f>J96</f>
        <v>108.89565031069209</v>
      </c>
      <c r="K105" s="210" t="s">
        <v>41</v>
      </c>
      <c r="L105" s="210"/>
      <c r="M105" s="198">
        <v>0.27</v>
      </c>
      <c r="N105" s="198"/>
      <c r="O105" s="38">
        <f>J105*M105</f>
        <v>29.401825583886865</v>
      </c>
      <c r="P105" s="49">
        <f t="shared" si="21"/>
        <v>2.9401825583886865E-2</v>
      </c>
      <c r="Q105" s="19">
        <f>IF(B88=B51,L51*S51,IF(B88=B46,L46*S46,IF(B88=B41,L41*S41,IF(B88=B36,L36*S36,IF(B88=B31,L31*S31,IF(B88=B30,L30*S30,IF(B88=B29,L29*S29,"N/A")))))))</f>
        <v>0</v>
      </c>
      <c r="R105" s="38">
        <f>P105*Q105*B93</f>
        <v>0</v>
      </c>
      <c r="S105" s="217"/>
    </row>
    <row r="106" spans="2:19">
      <c r="B106" s="45"/>
      <c r="C106" s="196"/>
      <c r="D106" s="222"/>
      <c r="E106" s="201"/>
      <c r="F106" s="201"/>
      <c r="G106" s="211" t="s">
        <v>185</v>
      </c>
      <c r="H106" s="211"/>
      <c r="I106" s="211"/>
      <c r="J106" s="50">
        <f>J104</f>
        <v>108.89565031069209</v>
      </c>
      <c r="K106" s="212" t="s">
        <v>41</v>
      </c>
      <c r="L106" s="212"/>
      <c r="M106" s="228">
        <v>1.86</v>
      </c>
      <c r="N106" s="228"/>
      <c r="O106" s="50">
        <f>J106*M106</f>
        <v>202.5459095778873</v>
      </c>
      <c r="P106" s="51">
        <f t="shared" si="21"/>
        <v>0.20254590957788729</v>
      </c>
      <c r="Q106" s="60">
        <f>1</f>
        <v>1</v>
      </c>
      <c r="R106" s="50">
        <f>P106*Q106*B93</f>
        <v>4726.4088000000002</v>
      </c>
      <c r="S106" s="218"/>
    </row>
    <row r="107" spans="2:19">
      <c r="B107" s="45"/>
      <c r="C107" s="196"/>
      <c r="D107" s="219" t="s">
        <v>38</v>
      </c>
      <c r="E107" s="220"/>
      <c r="F107" s="220"/>
      <c r="G107" s="199" t="s">
        <v>139</v>
      </c>
      <c r="H107" s="199"/>
      <c r="I107" s="199"/>
      <c r="J107" s="38">
        <f>J88</f>
        <v>140.58188884679663</v>
      </c>
      <c r="K107" s="210" t="s">
        <v>41</v>
      </c>
      <c r="L107" s="210"/>
      <c r="M107" s="241">
        <v>4.5</v>
      </c>
      <c r="N107" s="241"/>
      <c r="O107" s="38">
        <f>J107*M107</f>
        <v>632.61849981058481</v>
      </c>
      <c r="P107" s="49">
        <f t="shared" si="21"/>
        <v>0.63261849981058482</v>
      </c>
      <c r="Q107" s="65">
        <f>IF(B88=B51,E51,IF(B88=B46,E46,IF(B88=B41,E41,IF(B88=B36,E36,IF(B88=B31,E31,IF(B88=B30,E30,IF(B88=B29,E29,"N/A")))))))</f>
        <v>0.12</v>
      </c>
      <c r="R107" s="38">
        <f>P107*Q107*B93</f>
        <v>1771.4583231695995</v>
      </c>
      <c r="S107" s="214">
        <f>SUM(R107:R112)</f>
        <v>4134.175280498599</v>
      </c>
    </row>
    <row r="108" spans="2:19">
      <c r="B108" s="45"/>
      <c r="C108" s="196"/>
      <c r="D108" s="221"/>
      <c r="E108" s="200"/>
      <c r="F108" s="200"/>
      <c r="G108" s="243" t="s">
        <v>186</v>
      </c>
      <c r="H108" s="243"/>
      <c r="I108" s="243"/>
      <c r="J108" s="182">
        <f>B91</f>
        <v>108.89565031069209</v>
      </c>
      <c r="K108" s="260">
        <v>0.06</v>
      </c>
      <c r="L108" s="260"/>
      <c r="M108" s="261">
        <v>12</v>
      </c>
      <c r="N108" s="261"/>
      <c r="O108" s="38">
        <f t="shared" ref="O108" si="22">J108*K108*M108</f>
        <v>78.404868223698301</v>
      </c>
      <c r="P108" s="49">
        <f t="shared" ref="P108:P109" si="23">O108/1000</f>
        <v>7.8404868223698299E-2</v>
      </c>
      <c r="Q108" s="19">
        <f>IF(B88=B51,L51*Q51,IF(B88=B46,L46*Q46,IF(B88=B41,L41*Q41,IF(B88=B36,L36*Q36,IF(B88=B31,L31*Q31,IF(B88=B30,L30*Q30,IF(B88=B29,L29*Q29,"N/A")))))))</f>
        <v>0.26949999999999996</v>
      </c>
      <c r="R108" s="182">
        <f>(P108*Q108*B93)+(P109*Q109*B93)</f>
        <v>1299.1017391999999</v>
      </c>
      <c r="S108" s="214"/>
    </row>
    <row r="109" spans="2:19">
      <c r="B109" s="45"/>
      <c r="C109" s="196"/>
      <c r="D109" s="221"/>
      <c r="E109" s="200"/>
      <c r="F109" s="200"/>
      <c r="G109" s="243"/>
      <c r="H109" s="243"/>
      <c r="I109" s="243"/>
      <c r="J109" s="182"/>
      <c r="K109" s="260">
        <v>0.05</v>
      </c>
      <c r="L109" s="260"/>
      <c r="M109" s="261">
        <v>16</v>
      </c>
      <c r="N109" s="261"/>
      <c r="O109" s="38">
        <f>J108*K109*M109</f>
        <v>87.116520248553684</v>
      </c>
      <c r="P109" s="49">
        <f t="shared" si="23"/>
        <v>8.711652024855368E-2</v>
      </c>
      <c r="Q109" s="19">
        <f>IF(B88=B51,K51*T51,IF(B88=B46,K46*T46,IF(B88=B41,K41*T41,IF(B88=B36,K36*T36,IF(B88=B31,K31*T31,IF(B88=B30,K30*T30,IF(B88=B29,K29*T29,"N/A")))))))</f>
        <v>0.39650000000000002</v>
      </c>
      <c r="R109" s="182"/>
      <c r="S109" s="214"/>
    </row>
    <row r="110" spans="2:19">
      <c r="B110" s="45"/>
      <c r="C110" s="196"/>
      <c r="D110" s="221"/>
      <c r="E110" s="200"/>
      <c r="F110" s="200"/>
      <c r="G110" s="199" t="s">
        <v>187</v>
      </c>
      <c r="H110" s="199"/>
      <c r="I110" s="199"/>
      <c r="J110" s="38">
        <f>B91</f>
        <v>108.89565031069209</v>
      </c>
      <c r="K110" s="207">
        <f>K80</f>
        <v>0.1</v>
      </c>
      <c r="L110" s="207"/>
      <c r="M110" s="208">
        <f>M80</f>
        <v>7.5</v>
      </c>
      <c r="N110" s="208"/>
      <c r="O110" s="38">
        <f>J110*K110*M110</f>
        <v>81.671737733019086</v>
      </c>
      <c r="P110" s="49">
        <f t="shared" ref="P110:P117" si="24">O110/1000</f>
        <v>8.1671737733019084E-2</v>
      </c>
      <c r="Q110" s="19">
        <f>IF(B88=B51,L51*R51,IF(B88=B46,L46*R46,IF(B88=B41,L41*R41,IF(B88=B36,L36*R36,IF(B88=B31,L31*R31,IF(B88=B30,L30*R30,IF(B88=B29,L29*R29,"N/A")))))))</f>
        <v>8.0500000000000002E-2</v>
      </c>
      <c r="R110" s="38">
        <f>P110*Q110*B93</f>
        <v>153.41770500000004</v>
      </c>
      <c r="S110" s="214"/>
    </row>
    <row r="111" spans="2:19">
      <c r="B111" s="45"/>
      <c r="C111" s="196"/>
      <c r="D111" s="221"/>
      <c r="E111" s="200"/>
      <c r="F111" s="200"/>
      <c r="G111" s="199" t="s">
        <v>188</v>
      </c>
      <c r="H111" s="199"/>
      <c r="I111" s="199"/>
      <c r="J111" s="38">
        <f>J116</f>
        <v>72.960085708163703</v>
      </c>
      <c r="K111" s="207">
        <f>K81</f>
        <v>0.115</v>
      </c>
      <c r="L111" s="207"/>
      <c r="M111" s="184">
        <f>M81</f>
        <v>16.734999999999999</v>
      </c>
      <c r="N111" s="184"/>
      <c r="O111" s="38">
        <f>J111*K111*M111</f>
        <v>140.41350894750374</v>
      </c>
      <c r="P111" s="49">
        <f t="shared" si="24"/>
        <v>0.14041350894750373</v>
      </c>
      <c r="Q111" s="225">
        <f>IF(B88=B51,P51,IF(B88=B46,P46,IF(B88=B41,P41,IF(B88=B36,P36,IF(B88=B31,P31,IF(B88=B30,P30,IF(B88=B29,P29,"N/A")))))))</f>
        <v>9.9999999999999978E-2</v>
      </c>
      <c r="R111" s="182">
        <f>(P111+P112)*Q111*B93</f>
        <v>910.19751312899973</v>
      </c>
      <c r="S111" s="217"/>
    </row>
    <row r="112" spans="2:19">
      <c r="B112" s="45"/>
      <c r="C112" s="196"/>
      <c r="D112" s="222"/>
      <c r="E112" s="201"/>
      <c r="F112" s="201"/>
      <c r="G112" s="199" t="s">
        <v>189</v>
      </c>
      <c r="H112" s="199"/>
      <c r="I112" s="199"/>
      <c r="J112" s="50">
        <f>B91</f>
        <v>108.89565031069209</v>
      </c>
      <c r="K112" s="242">
        <f>K82</f>
        <v>0.17499999999999999</v>
      </c>
      <c r="L112" s="242"/>
      <c r="M112" s="231">
        <f>M82</f>
        <v>13.1</v>
      </c>
      <c r="N112" s="231"/>
      <c r="O112" s="50">
        <f>J112*K112*M112</f>
        <v>249.64327833726159</v>
      </c>
      <c r="P112" s="51">
        <f t="shared" si="24"/>
        <v>0.2496432783372616</v>
      </c>
      <c r="Q112" s="257"/>
      <c r="R112" s="213"/>
      <c r="S112" s="218"/>
    </row>
    <row r="113" spans="2:19">
      <c r="B113" s="45"/>
      <c r="C113" s="196"/>
      <c r="D113" s="233" t="s">
        <v>39</v>
      </c>
      <c r="E113" s="234"/>
      <c r="F113" s="234"/>
      <c r="G113" s="204" t="s">
        <v>190</v>
      </c>
      <c r="H113" s="204"/>
      <c r="I113" s="204"/>
      <c r="J113" s="50">
        <f>0.2*B91</f>
        <v>21.779130062138421</v>
      </c>
      <c r="K113" s="235">
        <v>4.4999999999999997E-3</v>
      </c>
      <c r="L113" s="235"/>
      <c r="M113" s="231">
        <v>2500</v>
      </c>
      <c r="N113" s="231"/>
      <c r="O113" s="50">
        <f>J113*K113*M113*2</f>
        <v>490.03042639811446</v>
      </c>
      <c r="P113" s="51">
        <f t="shared" si="24"/>
        <v>0.49003042639811445</v>
      </c>
      <c r="Q113" s="66">
        <f>IF(OR(B88=B51,B88=B46,B88=B41),1,0.3+0.5*0.7)</f>
        <v>1</v>
      </c>
      <c r="R113" s="50">
        <f>P113*Q113*B93</f>
        <v>11434.86</v>
      </c>
      <c r="S113" s="63">
        <f>R113</f>
        <v>11434.86</v>
      </c>
    </row>
    <row r="114" spans="2:19">
      <c r="C114" s="196"/>
      <c r="D114" s="238" t="s">
        <v>35</v>
      </c>
      <c r="E114" s="239"/>
      <c r="F114" s="239"/>
      <c r="G114" s="199" t="s">
        <v>191</v>
      </c>
      <c r="H114" s="199"/>
      <c r="I114" s="199"/>
      <c r="J114" s="50">
        <f>J94+(2*J93)-J113+J96-(2.55*2.1)</f>
        <v>363.80125455324617</v>
      </c>
      <c r="K114" s="205" t="s">
        <v>41</v>
      </c>
      <c r="L114" s="205"/>
      <c r="M114" s="240">
        <v>6.5</v>
      </c>
      <c r="N114" s="240"/>
      <c r="O114" s="50">
        <f>J114*M114</f>
        <v>2364.7081545961</v>
      </c>
      <c r="P114" s="51">
        <f t="shared" si="24"/>
        <v>2.3647081545961002</v>
      </c>
      <c r="Q114" s="66">
        <f>1</f>
        <v>1</v>
      </c>
      <c r="R114" s="50">
        <f>P114*Q114*B93</f>
        <v>55180.464787500001</v>
      </c>
      <c r="S114" s="63">
        <f>R114</f>
        <v>55180.464787500001</v>
      </c>
    </row>
    <row r="115" spans="2:19">
      <c r="C115" s="196"/>
      <c r="D115" s="219" t="s">
        <v>192</v>
      </c>
      <c r="E115" s="220"/>
      <c r="F115" s="220"/>
      <c r="G115" s="223" t="s">
        <v>193</v>
      </c>
      <c r="H115" s="223"/>
      <c r="I115" s="223"/>
      <c r="J115" s="38">
        <f>J112</f>
        <v>108.89565031069209</v>
      </c>
      <c r="K115" s="198">
        <v>0.18</v>
      </c>
      <c r="L115" s="198"/>
      <c r="M115" s="232">
        <v>7.4</v>
      </c>
      <c r="N115" s="232"/>
      <c r="O115" s="38">
        <f>J115*K115*M115</f>
        <v>145.04900621384186</v>
      </c>
      <c r="P115" s="49">
        <f t="shared" si="24"/>
        <v>0.14504900621384187</v>
      </c>
      <c r="Q115" s="258">
        <f>IF(B88=B51,O51,IF(B88=B46,O46,IF(B88=B41,O41,IF(B88=B36,O36,IF(B88=B31,O31,IF(B88=B30,O30,IF(B88=B29,O29,"N/A")))))))</f>
        <v>0.9</v>
      </c>
      <c r="R115" s="182">
        <f>(P115+P116)*Q115*B93</f>
        <v>4604.5665550800004</v>
      </c>
      <c r="S115" s="214">
        <f>R115</f>
        <v>4604.5665550800004</v>
      </c>
    </row>
    <row r="116" spans="2:19">
      <c r="C116" s="196"/>
      <c r="D116" s="222"/>
      <c r="E116" s="201"/>
      <c r="F116" s="201"/>
      <c r="G116" s="211" t="s">
        <v>194</v>
      </c>
      <c r="H116" s="211"/>
      <c r="I116" s="211"/>
      <c r="J116" s="50">
        <f>J92</f>
        <v>72.960085708163703</v>
      </c>
      <c r="K116" s="216">
        <v>0.09</v>
      </c>
      <c r="L116" s="216"/>
      <c r="M116" s="206">
        <v>11.3</v>
      </c>
      <c r="N116" s="206"/>
      <c r="O116" s="50">
        <f>J116*K116*M116</f>
        <v>74.200407165202492</v>
      </c>
      <c r="P116" s="51">
        <f t="shared" si="24"/>
        <v>7.4200407165202487E-2</v>
      </c>
      <c r="Q116" s="257"/>
      <c r="R116" s="213"/>
      <c r="S116" s="215"/>
    </row>
    <row r="117" spans="2:19">
      <c r="C117" s="197"/>
      <c r="D117" s="202" t="s">
        <v>195</v>
      </c>
      <c r="E117" s="203"/>
      <c r="F117" s="203"/>
      <c r="G117" s="204" t="s">
        <v>140</v>
      </c>
      <c r="H117" s="204"/>
      <c r="I117" s="204"/>
      <c r="J117" s="50">
        <f>J92</f>
        <v>72.960085708163703</v>
      </c>
      <c r="K117" s="205" t="s">
        <v>41</v>
      </c>
      <c r="L117" s="205"/>
      <c r="M117" s="206">
        <v>13.6</v>
      </c>
      <c r="N117" s="206"/>
      <c r="O117" s="50">
        <f>J117*M117</f>
        <v>992.25716563102628</v>
      </c>
      <c r="P117" s="51">
        <f t="shared" si="24"/>
        <v>0.99225716563102628</v>
      </c>
      <c r="Q117" s="66">
        <f>IF(B88=B51,H51,IF(B88=B46,H46,IF(B88=B41,H41,IF(B88=B36,H36,IF(B88=B31,H31,IF(B88=B30,H30,IF(B88=B29,H29,"N/A")))))))</f>
        <v>0.42749999999999999</v>
      </c>
      <c r="R117" s="55">
        <f>P117*Q117*B93</f>
        <v>9898.4722103999993</v>
      </c>
      <c r="S117" s="63">
        <f>R117</f>
        <v>9898.4722103999993</v>
      </c>
    </row>
    <row r="120" spans="2:19">
      <c r="B120" s="265" t="s">
        <v>127</v>
      </c>
      <c r="C120" s="265"/>
      <c r="D120" s="265"/>
      <c r="E120" s="265"/>
      <c r="F120" s="265"/>
      <c r="G120" s="265"/>
      <c r="H120" s="265"/>
      <c r="I120" s="265"/>
      <c r="J120" s="265"/>
      <c r="K120" s="265"/>
      <c r="L120" s="265"/>
      <c r="M120" s="265"/>
      <c r="N120" s="265"/>
      <c r="O120" s="265"/>
      <c r="P120" s="265"/>
      <c r="Q120" s="265"/>
      <c r="R120" s="265"/>
      <c r="S120" s="265"/>
    </row>
    <row r="121" spans="2:19">
      <c r="C121" s="200" t="s">
        <v>196</v>
      </c>
      <c r="D121" s="200"/>
      <c r="E121" s="200"/>
      <c r="F121" s="200"/>
      <c r="G121" s="200"/>
      <c r="H121" s="200"/>
      <c r="I121" s="200"/>
      <c r="J121" s="200"/>
      <c r="K121" s="200"/>
      <c r="L121" s="200"/>
      <c r="M121" s="200"/>
      <c r="N121" s="200"/>
      <c r="O121" s="200"/>
      <c r="P121" s="200"/>
      <c r="Q121" s="200"/>
      <c r="R121" s="200"/>
      <c r="S121" s="200"/>
    </row>
    <row r="122" spans="2:19">
      <c r="C122" s="45"/>
      <c r="D122" s="45"/>
      <c r="F122" s="38"/>
      <c r="G122" s="76"/>
      <c r="H122" s="38"/>
    </row>
    <row r="123" spans="2:19">
      <c r="C123" s="152"/>
      <c r="D123" s="152"/>
      <c r="E123" s="153">
        <v>1991</v>
      </c>
      <c r="F123" s="153">
        <v>1996</v>
      </c>
      <c r="G123" s="153">
        <v>2001</v>
      </c>
      <c r="H123" s="153">
        <v>2006</v>
      </c>
      <c r="I123" s="153">
        <v>2011</v>
      </c>
      <c r="J123" s="153">
        <v>2016</v>
      </c>
      <c r="K123" s="153">
        <v>2021</v>
      </c>
    </row>
    <row r="124" spans="2:19">
      <c r="C124" s="154" t="s">
        <v>169</v>
      </c>
      <c r="D124" s="155"/>
      <c r="E124" s="156">
        <v>658131.25255820167</v>
      </c>
      <c r="F124" s="156">
        <v>1055823.326202502</v>
      </c>
      <c r="G124" s="156">
        <v>986320.77018020838</v>
      </c>
      <c r="H124" s="156">
        <v>1348563.4258788554</v>
      </c>
      <c r="I124" s="156">
        <v>690951.19089183095</v>
      </c>
      <c r="J124" s="156">
        <v>1334385.2419891423</v>
      </c>
      <c r="K124" s="156">
        <v>1522961.1029141906</v>
      </c>
    </row>
    <row r="125" spans="2:19">
      <c r="C125" s="142"/>
      <c r="D125" s="143" t="s">
        <v>148</v>
      </c>
      <c r="E125" s="146">
        <v>91596.346807808703</v>
      </c>
      <c r="F125" s="146">
        <v>147493.16382637981</v>
      </c>
      <c r="G125" s="146">
        <v>137857.29983870129</v>
      </c>
      <c r="H125" s="146">
        <v>148128.58810369618</v>
      </c>
      <c r="I125" s="146">
        <v>78058.791897886782</v>
      </c>
      <c r="J125" s="146">
        <v>124293.89528899199</v>
      </c>
      <c r="K125" s="146">
        <v>90814.518395815481</v>
      </c>
    </row>
    <row r="126" spans="2:19">
      <c r="C126" s="142"/>
      <c r="D126" s="143" t="s">
        <v>150</v>
      </c>
      <c r="E126" s="146">
        <v>82416.230422392982</v>
      </c>
      <c r="F126" s="146">
        <v>132710.86674612202</v>
      </c>
      <c r="G126" s="146">
        <v>124040.74381650699</v>
      </c>
      <c r="H126" s="146">
        <v>199481.11040715902</v>
      </c>
      <c r="I126" s="146">
        <v>90691.632513944016</v>
      </c>
      <c r="J126" s="146">
        <v>150768.24265615002</v>
      </c>
      <c r="K126" s="146">
        <v>148111.36329587499</v>
      </c>
    </row>
    <row r="127" spans="2:19">
      <c r="C127" s="144"/>
      <c r="D127" s="145" t="s">
        <v>152</v>
      </c>
      <c r="E127" s="147">
        <v>484118.67532799998</v>
      </c>
      <c r="F127" s="147">
        <v>775619.29563000007</v>
      </c>
      <c r="G127" s="147">
        <v>724422.72652500006</v>
      </c>
      <c r="H127" s="147">
        <v>1000953.7273680001</v>
      </c>
      <c r="I127" s="147">
        <v>522200.76648000017</v>
      </c>
      <c r="J127" s="147">
        <v>1059323.1040440002</v>
      </c>
      <c r="K127" s="147">
        <v>1284035.2212225001</v>
      </c>
    </row>
    <row r="128" spans="2:19">
      <c r="C128" s="157" t="s">
        <v>30</v>
      </c>
      <c r="D128" s="158"/>
      <c r="E128" s="159">
        <v>67671.037052112195</v>
      </c>
      <c r="F128" s="160">
        <v>108909.80404301945</v>
      </c>
      <c r="G128" s="159">
        <v>101878.83055178827</v>
      </c>
      <c r="H128" s="159">
        <v>128657.19776378253</v>
      </c>
      <c r="I128" s="159">
        <v>65196.921956341685</v>
      </c>
      <c r="J128" s="159">
        <v>150801.05292821952</v>
      </c>
      <c r="K128" s="159">
        <v>208277.71960673836</v>
      </c>
    </row>
    <row r="129" spans="3:11">
      <c r="C129" s="161" t="s">
        <v>197</v>
      </c>
      <c r="D129" s="162"/>
      <c r="E129" s="163">
        <v>15853.878863826649</v>
      </c>
      <c r="F129" s="163">
        <v>25528.733776384819</v>
      </c>
      <c r="G129" s="163">
        <v>23860.918129440899</v>
      </c>
      <c r="H129" s="163">
        <v>38980.136449025842</v>
      </c>
      <c r="I129" s="163">
        <v>23921.913060803949</v>
      </c>
      <c r="J129" s="163">
        <v>45072.90544938689</v>
      </c>
      <c r="K129" s="163">
        <v>74802.024826475899</v>
      </c>
    </row>
    <row r="130" spans="3:11">
      <c r="C130" s="150"/>
      <c r="D130" s="150" t="s">
        <v>33</v>
      </c>
      <c r="E130" s="146">
        <v>11227.271347002648</v>
      </c>
      <c r="F130" s="146">
        <v>18078.731628688816</v>
      </c>
      <c r="G130" s="146">
        <v>16897.631471064899</v>
      </c>
      <c r="H130" s="146">
        <v>29557.753724201837</v>
      </c>
      <c r="I130" s="146">
        <v>19022.218491923948</v>
      </c>
      <c r="J130" s="146">
        <v>34870.803151866894</v>
      </c>
      <c r="K130" s="146">
        <v>60808.1567264759</v>
      </c>
    </row>
    <row r="131" spans="3:11">
      <c r="C131" s="151"/>
      <c r="D131" s="151" t="s">
        <v>34</v>
      </c>
      <c r="E131" s="147">
        <v>4626.6075168239995</v>
      </c>
      <c r="F131" s="147">
        <v>7450.0021476960019</v>
      </c>
      <c r="G131" s="147">
        <v>6963.2866583760006</v>
      </c>
      <c r="H131" s="147">
        <v>9422.3827248240013</v>
      </c>
      <c r="I131" s="147">
        <v>4899.6945688799997</v>
      </c>
      <c r="J131" s="147">
        <v>10202.102297519999</v>
      </c>
      <c r="K131" s="147">
        <v>13993.8681</v>
      </c>
    </row>
    <row r="132" spans="3:11">
      <c r="C132" s="161" t="s">
        <v>38</v>
      </c>
      <c r="D132" s="162"/>
      <c r="E132" s="163">
        <v>3929.4018638957846</v>
      </c>
      <c r="F132" s="163">
        <v>6379.6529678628895</v>
      </c>
      <c r="G132" s="163">
        <v>6043.6900472247144</v>
      </c>
      <c r="H132" s="163">
        <v>7630.0474381525655</v>
      </c>
      <c r="I132" s="163">
        <v>5893.3139898103191</v>
      </c>
      <c r="J132" s="163">
        <v>15569.471605131746</v>
      </c>
      <c r="K132" s="163">
        <v>27387.009404817567</v>
      </c>
    </row>
    <row r="133" spans="3:11">
      <c r="C133" s="150"/>
      <c r="D133" s="150" t="s">
        <v>153</v>
      </c>
      <c r="E133" s="146">
        <v>1599.9849956577154</v>
      </c>
      <c r="F133" s="146">
        <v>2576.3783961761105</v>
      </c>
      <c r="G133" s="146">
        <v>2408.0612270117854</v>
      </c>
      <c r="H133" s="146">
        <v>1124.1470843638958</v>
      </c>
      <c r="I133" s="146">
        <v>410.36858043402032</v>
      </c>
      <c r="J133" s="146">
        <v>1421.0208090529509</v>
      </c>
      <c r="K133" s="146">
        <v>3149.1332429073736</v>
      </c>
    </row>
    <row r="134" spans="3:11">
      <c r="C134" s="150"/>
      <c r="D134" s="150" t="s">
        <v>154</v>
      </c>
      <c r="E134" s="146">
        <v>1339.6107191999997</v>
      </c>
      <c r="F134" s="146">
        <v>2209.4376384000002</v>
      </c>
      <c r="G134" s="146">
        <v>2145.9187190399998</v>
      </c>
      <c r="H134" s="146">
        <v>2754.5919537599998</v>
      </c>
      <c r="I134" s="146">
        <v>4722.6325012799989</v>
      </c>
      <c r="J134" s="146">
        <v>10334.888099711998</v>
      </c>
      <c r="K134" s="146">
        <v>18992.973495199993</v>
      </c>
    </row>
    <row r="135" spans="3:11">
      <c r="C135" s="151"/>
      <c r="D135" s="151" t="s">
        <v>198</v>
      </c>
      <c r="E135" s="147">
        <v>989.80614903806918</v>
      </c>
      <c r="F135" s="147">
        <v>1593.8369332867787</v>
      </c>
      <c r="G135" s="147">
        <v>1489.7101011729292</v>
      </c>
      <c r="H135" s="147">
        <v>3751.3084000286694</v>
      </c>
      <c r="I135" s="147">
        <v>760.31290809629991</v>
      </c>
      <c r="J135" s="147">
        <v>3813.5626963667987</v>
      </c>
      <c r="K135" s="147">
        <v>5244.9026667101989</v>
      </c>
    </row>
    <row r="136" spans="3:11">
      <c r="C136" s="164" t="s">
        <v>39</v>
      </c>
      <c r="D136" s="165"/>
      <c r="E136" s="159">
        <v>7119.4529249999996</v>
      </c>
      <c r="F136" s="159">
        <v>11464.11045</v>
      </c>
      <c r="G136" s="159">
        <v>10715.149574999999</v>
      </c>
      <c r="H136" s="159">
        <v>14528.940074999999</v>
      </c>
      <c r="I136" s="159">
        <v>11778.866999999998</v>
      </c>
      <c r="J136" s="159">
        <v>24616.755000000001</v>
      </c>
      <c r="K136" s="159">
        <v>33856.1325</v>
      </c>
    </row>
    <row r="137" spans="3:11">
      <c r="C137" s="164" t="s">
        <v>35</v>
      </c>
      <c r="D137" s="165"/>
      <c r="E137" s="159">
        <v>52651.682850000005</v>
      </c>
      <c r="F137" s="159">
        <v>85053.779557500005</v>
      </c>
      <c r="G137" s="159">
        <v>79531.258072500001</v>
      </c>
      <c r="H137" s="159">
        <v>107947.54444500001</v>
      </c>
      <c r="I137" s="159">
        <v>56867.951984999992</v>
      </c>
      <c r="J137" s="159">
        <v>118853.58205500001</v>
      </c>
      <c r="K137" s="159">
        <v>163312.45661249998</v>
      </c>
    </row>
    <row r="138" spans="3:11">
      <c r="C138" s="157" t="s">
        <v>37</v>
      </c>
      <c r="D138" s="158"/>
      <c r="E138" s="159">
        <v>4018.4864841797998</v>
      </c>
      <c r="F138" s="159">
        <v>6470.7742830492007</v>
      </c>
      <c r="G138" s="159">
        <v>6048.0326503602</v>
      </c>
      <c r="H138" s="159">
        <v>9400.7785634693973</v>
      </c>
      <c r="I138" s="159">
        <v>5059.2966462143995</v>
      </c>
      <c r="J138" s="159">
        <v>10353.186810774001</v>
      </c>
      <c r="K138" s="159">
        <v>13633.119722834999</v>
      </c>
    </row>
    <row r="139" spans="3:11">
      <c r="C139" s="161" t="s">
        <v>199</v>
      </c>
      <c r="D139" s="162"/>
      <c r="E139" s="163">
        <v>11044.951321776</v>
      </c>
      <c r="F139" s="163">
        <v>17785.150516704001</v>
      </c>
      <c r="G139" s="163">
        <v>16623.230283024001</v>
      </c>
      <c r="H139" s="163">
        <v>15986.097891785599</v>
      </c>
      <c r="I139" s="163">
        <v>8032.9820799615991</v>
      </c>
      <c r="J139" s="163">
        <v>18762.107301152002</v>
      </c>
      <c r="K139" s="163">
        <v>29307.222537299996</v>
      </c>
    </row>
    <row r="140" spans="3:11">
      <c r="C140" s="148" t="s">
        <v>200</v>
      </c>
      <c r="D140" s="152"/>
      <c r="E140" s="149">
        <f>SUM(E124,E128:E129,E132,E136:E139)</f>
        <v>820420.14391899214</v>
      </c>
      <c r="F140" s="149">
        <f t="shared" ref="F140:K140" si="25">SUM(F124,F128:F129,F132,F136:F139)</f>
        <v>1317415.3317970221</v>
      </c>
      <c r="G140" s="149">
        <f t="shared" si="25"/>
        <v>1231021.8794895462</v>
      </c>
      <c r="H140" s="149">
        <f t="shared" si="25"/>
        <v>1671694.1685050714</v>
      </c>
      <c r="I140" s="149">
        <f t="shared" si="25"/>
        <v>867702.43760996277</v>
      </c>
      <c r="J140" s="149">
        <f t="shared" si="25"/>
        <v>1718414.3031388065</v>
      </c>
      <c r="K140" s="149">
        <f t="shared" si="25"/>
        <v>2073536.7881248575</v>
      </c>
    </row>
    <row r="142" spans="3:11">
      <c r="C142" s="166"/>
      <c r="D142" s="137" t="s">
        <v>201</v>
      </c>
    </row>
  </sheetData>
  <mergeCells count="294">
    <mergeCell ref="T32:U32"/>
    <mergeCell ref="T33:U33"/>
    <mergeCell ref="T34:U34"/>
    <mergeCell ref="T35:U35"/>
    <mergeCell ref="T37:U37"/>
    <mergeCell ref="T38:U38"/>
    <mergeCell ref="T39:U39"/>
    <mergeCell ref="C121:S121"/>
    <mergeCell ref="B120:S120"/>
    <mergeCell ref="T51:U51"/>
    <mergeCell ref="T40:U40"/>
    <mergeCell ref="T41:U41"/>
    <mergeCell ref="D113:F113"/>
    <mergeCell ref="G113:I113"/>
    <mergeCell ref="K113:L113"/>
    <mergeCell ref="M113:N113"/>
    <mergeCell ref="D107:F112"/>
    <mergeCell ref="T46:U46"/>
    <mergeCell ref="T47:U47"/>
    <mergeCell ref="T48:U48"/>
    <mergeCell ref="T49:U49"/>
    <mergeCell ref="T50:U50"/>
    <mergeCell ref="D114:F114"/>
    <mergeCell ref="D115:F116"/>
    <mergeCell ref="T28:U28"/>
    <mergeCell ref="B25:V25"/>
    <mergeCell ref="G80:I80"/>
    <mergeCell ref="K80:L80"/>
    <mergeCell ref="M80:N80"/>
    <mergeCell ref="G75:I75"/>
    <mergeCell ref="K75:L75"/>
    <mergeCell ref="M75:N75"/>
    <mergeCell ref="G78:I79"/>
    <mergeCell ref="J78:J79"/>
    <mergeCell ref="R78:R79"/>
    <mergeCell ref="K78:L78"/>
    <mergeCell ref="K79:L79"/>
    <mergeCell ref="M78:N78"/>
    <mergeCell ref="M79:N79"/>
    <mergeCell ref="T42:U42"/>
    <mergeCell ref="T43:U43"/>
    <mergeCell ref="T44:U44"/>
    <mergeCell ref="T45:U45"/>
    <mergeCell ref="T27:U27"/>
    <mergeCell ref="T29:U29"/>
    <mergeCell ref="T30:U30"/>
    <mergeCell ref="T31:U31"/>
    <mergeCell ref="T36:U36"/>
    <mergeCell ref="S62:S68"/>
    <mergeCell ref="R63:R64"/>
    <mergeCell ref="G64:I64"/>
    <mergeCell ref="G67:I67"/>
    <mergeCell ref="K67:L67"/>
    <mergeCell ref="M67:N67"/>
    <mergeCell ref="G68:I68"/>
    <mergeCell ref="K68:L68"/>
    <mergeCell ref="M68:N68"/>
    <mergeCell ref="R108:R109"/>
    <mergeCell ref="Q115:Q116"/>
    <mergeCell ref="G105:I105"/>
    <mergeCell ref="K105:L105"/>
    <mergeCell ref="M105:N105"/>
    <mergeCell ref="K108:L108"/>
    <mergeCell ref="M108:N108"/>
    <mergeCell ref="K109:L109"/>
    <mergeCell ref="M109:N109"/>
    <mergeCell ref="Q111:Q112"/>
    <mergeCell ref="G114:I114"/>
    <mergeCell ref="K114:L114"/>
    <mergeCell ref="M114:N114"/>
    <mergeCell ref="G115:I115"/>
    <mergeCell ref="K115:L115"/>
    <mergeCell ref="M115:N115"/>
    <mergeCell ref="G112:I112"/>
    <mergeCell ref="K112:L112"/>
    <mergeCell ref="M112:N112"/>
    <mergeCell ref="G107:I107"/>
    <mergeCell ref="K107:L107"/>
    <mergeCell ref="M107:N107"/>
    <mergeCell ref="G108:I109"/>
    <mergeCell ref="G110:I110"/>
    <mergeCell ref="Q56:Q57"/>
    <mergeCell ref="G97:I97"/>
    <mergeCell ref="K97:L97"/>
    <mergeCell ref="M97:N97"/>
    <mergeCell ref="Q63:Q64"/>
    <mergeCell ref="Q70:Q71"/>
    <mergeCell ref="Q81:Q82"/>
    <mergeCell ref="Q85:Q86"/>
    <mergeCell ref="Q93:Q94"/>
    <mergeCell ref="M56:N57"/>
    <mergeCell ref="K58:L58"/>
    <mergeCell ref="M58:N58"/>
    <mergeCell ref="M61:N61"/>
    <mergeCell ref="D62:F68"/>
    <mergeCell ref="G62:I62"/>
    <mergeCell ref="K62:L62"/>
    <mergeCell ref="M62:N62"/>
    <mergeCell ref="G63:I63"/>
    <mergeCell ref="K63:L63"/>
    <mergeCell ref="M63:N63"/>
    <mergeCell ref="K64:L64"/>
    <mergeCell ref="M64:N64"/>
    <mergeCell ref="G65:I65"/>
    <mergeCell ref="K65:L65"/>
    <mergeCell ref="G66:I66"/>
    <mergeCell ref="K66:L66"/>
    <mergeCell ref="M66:N66"/>
    <mergeCell ref="B2:L2"/>
    <mergeCell ref="B3:L3"/>
    <mergeCell ref="B4:L4"/>
    <mergeCell ref="B5:L5"/>
    <mergeCell ref="B6:L6"/>
    <mergeCell ref="C27:E27"/>
    <mergeCell ref="I27:J27"/>
    <mergeCell ref="K27:L27"/>
    <mergeCell ref="B15:B17"/>
    <mergeCell ref="C15:E15"/>
    <mergeCell ref="C16:E16"/>
    <mergeCell ref="C17:E17"/>
    <mergeCell ref="B18:B20"/>
    <mergeCell ref="C18:E18"/>
    <mergeCell ref="C19:E19"/>
    <mergeCell ref="C20:E20"/>
    <mergeCell ref="B9:L9"/>
    <mergeCell ref="F10:L10"/>
    <mergeCell ref="B12:B14"/>
    <mergeCell ref="B7:L7"/>
    <mergeCell ref="C12:E12"/>
    <mergeCell ref="C13:E13"/>
    <mergeCell ref="C14:E14"/>
    <mergeCell ref="M27:N27"/>
    <mergeCell ref="O27:P27"/>
    <mergeCell ref="S58:S61"/>
    <mergeCell ref="G59:I59"/>
    <mergeCell ref="K59:L59"/>
    <mergeCell ref="M59:N59"/>
    <mergeCell ref="G60:I60"/>
    <mergeCell ref="K60:L60"/>
    <mergeCell ref="M60:N60"/>
    <mergeCell ref="G61:I61"/>
    <mergeCell ref="K61:L61"/>
    <mergeCell ref="G56:I57"/>
    <mergeCell ref="O56:O57"/>
    <mergeCell ref="P56:P57"/>
    <mergeCell ref="R56:R57"/>
    <mergeCell ref="S56:S57"/>
    <mergeCell ref="B54:S54"/>
    <mergeCell ref="Q27:S27"/>
    <mergeCell ref="F27:H27"/>
    <mergeCell ref="B56:B57"/>
    <mergeCell ref="C56:C57"/>
    <mergeCell ref="C58:C87"/>
    <mergeCell ref="D58:F61"/>
    <mergeCell ref="G58:I58"/>
    <mergeCell ref="R70:R71"/>
    <mergeCell ref="G71:I71"/>
    <mergeCell ref="K71:L71"/>
    <mergeCell ref="M71:N71"/>
    <mergeCell ref="D69:F76"/>
    <mergeCell ref="G69:I69"/>
    <mergeCell ref="K69:L69"/>
    <mergeCell ref="M69:N69"/>
    <mergeCell ref="S69:S76"/>
    <mergeCell ref="G70:I70"/>
    <mergeCell ref="G72:I72"/>
    <mergeCell ref="K72:L72"/>
    <mergeCell ref="G73:I73"/>
    <mergeCell ref="K73:L73"/>
    <mergeCell ref="G74:I74"/>
    <mergeCell ref="K74:L74"/>
    <mergeCell ref="M74:N74"/>
    <mergeCell ref="K70:L70"/>
    <mergeCell ref="M70:N70"/>
    <mergeCell ref="G76:I76"/>
    <mergeCell ref="K76:L76"/>
    <mergeCell ref="M76:N76"/>
    <mergeCell ref="S77:S82"/>
    <mergeCell ref="G81:I81"/>
    <mergeCell ref="K81:L81"/>
    <mergeCell ref="M81:N81"/>
    <mergeCell ref="R81:R82"/>
    <mergeCell ref="G82:I82"/>
    <mergeCell ref="D77:F82"/>
    <mergeCell ref="G77:I77"/>
    <mergeCell ref="K77:L77"/>
    <mergeCell ref="M77:N77"/>
    <mergeCell ref="K82:L82"/>
    <mergeCell ref="M82:N82"/>
    <mergeCell ref="D83:F83"/>
    <mergeCell ref="G83:I83"/>
    <mergeCell ref="K83:L83"/>
    <mergeCell ref="M83:N83"/>
    <mergeCell ref="D88:F91"/>
    <mergeCell ref="G88:I88"/>
    <mergeCell ref="K88:L88"/>
    <mergeCell ref="M88:N88"/>
    <mergeCell ref="D92:F98"/>
    <mergeCell ref="G92:I92"/>
    <mergeCell ref="K92:L92"/>
    <mergeCell ref="M92:N92"/>
    <mergeCell ref="K95:L95"/>
    <mergeCell ref="M95:N95"/>
    <mergeCell ref="G96:I96"/>
    <mergeCell ref="K96:L96"/>
    <mergeCell ref="M96:N96"/>
    <mergeCell ref="G98:I98"/>
    <mergeCell ref="K98:L98"/>
    <mergeCell ref="M98:N98"/>
    <mergeCell ref="D84:F84"/>
    <mergeCell ref="G84:I84"/>
    <mergeCell ref="K84:L84"/>
    <mergeCell ref="M84:N84"/>
    <mergeCell ref="S85:S86"/>
    <mergeCell ref="G86:I86"/>
    <mergeCell ref="K86:L86"/>
    <mergeCell ref="M86:N86"/>
    <mergeCell ref="D87:F87"/>
    <mergeCell ref="G87:I87"/>
    <mergeCell ref="K87:L87"/>
    <mergeCell ref="M87:N87"/>
    <mergeCell ref="D85:F86"/>
    <mergeCell ref="G85:I85"/>
    <mergeCell ref="K85:L85"/>
    <mergeCell ref="M85:N85"/>
    <mergeCell ref="R85:R86"/>
    <mergeCell ref="S88:S91"/>
    <mergeCell ref="G89:I89"/>
    <mergeCell ref="K89:L89"/>
    <mergeCell ref="M89:N89"/>
    <mergeCell ref="G90:I90"/>
    <mergeCell ref="K90:L90"/>
    <mergeCell ref="M90:N90"/>
    <mergeCell ref="G91:I91"/>
    <mergeCell ref="K91:L91"/>
    <mergeCell ref="M91:N91"/>
    <mergeCell ref="M106:N106"/>
    <mergeCell ref="S92:S98"/>
    <mergeCell ref="G93:I93"/>
    <mergeCell ref="K93:L93"/>
    <mergeCell ref="M93:N93"/>
    <mergeCell ref="R93:R94"/>
    <mergeCell ref="G94:I94"/>
    <mergeCell ref="K94:L94"/>
    <mergeCell ref="M94:N94"/>
    <mergeCell ref="G95:I95"/>
    <mergeCell ref="R115:R116"/>
    <mergeCell ref="S115:S116"/>
    <mergeCell ref="G116:I116"/>
    <mergeCell ref="K116:L116"/>
    <mergeCell ref="M116:N116"/>
    <mergeCell ref="D56:F57"/>
    <mergeCell ref="S107:S112"/>
    <mergeCell ref="R111:R112"/>
    <mergeCell ref="D99:F106"/>
    <mergeCell ref="G99:I99"/>
    <mergeCell ref="K99:L99"/>
    <mergeCell ref="M99:N99"/>
    <mergeCell ref="S99:S106"/>
    <mergeCell ref="G100:I100"/>
    <mergeCell ref="Q100:Q101"/>
    <mergeCell ref="G102:I102"/>
    <mergeCell ref="K102:L102"/>
    <mergeCell ref="M102:N102"/>
    <mergeCell ref="G103:I103"/>
    <mergeCell ref="K103:L103"/>
    <mergeCell ref="M103:N103"/>
    <mergeCell ref="K100:L100"/>
    <mergeCell ref="M100:N100"/>
    <mergeCell ref="R100:R101"/>
    <mergeCell ref="C88:C117"/>
    <mergeCell ref="M73:N73"/>
    <mergeCell ref="M72:N72"/>
    <mergeCell ref="M65:N65"/>
    <mergeCell ref="J56:J57"/>
    <mergeCell ref="K56:L57"/>
    <mergeCell ref="D117:F117"/>
    <mergeCell ref="G117:I117"/>
    <mergeCell ref="K117:L117"/>
    <mergeCell ref="M117:N117"/>
    <mergeCell ref="G111:I111"/>
    <mergeCell ref="K111:L111"/>
    <mergeCell ref="M111:N111"/>
    <mergeCell ref="G104:I104"/>
    <mergeCell ref="K110:L110"/>
    <mergeCell ref="M110:N110"/>
    <mergeCell ref="J108:J109"/>
    <mergeCell ref="G101:I101"/>
    <mergeCell ref="K101:L101"/>
    <mergeCell ref="M101:N101"/>
    <mergeCell ref="K104:L104"/>
    <mergeCell ref="M104:N104"/>
    <mergeCell ref="G106:I106"/>
    <mergeCell ref="K106:L106"/>
  </mergeCells>
  <dataValidations count="1">
    <dataValidation type="list" allowBlank="1" showInputMessage="1" showErrorMessage="1" sqref="B58 B88" xr:uid="{D0F6D220-3632-4D8C-B0D7-30E6B77B1D3E}">
      <formula1>$F$11:$L$11</formula1>
    </dataValidation>
  </dataValidations>
  <hyperlinks>
    <hyperlink ref="B3:L3" location="Construction!B8" display="New residential dwelling consent data" xr:uid="{4C806A6F-02B7-411A-9E5B-67AAA05C12C7}"/>
    <hyperlink ref="B4:L4" location="Construction!B24" display="Distribution of construction materials in new dwellings" xr:uid="{AC4085DE-B7A9-4092-98EB-030A3A052187}"/>
    <hyperlink ref="B5:L5" location="Construction!C58" display="Material estimation for LDH dwellings" xr:uid="{8F93C322-3154-4F8E-B4C2-6DB3D15F0217}"/>
    <hyperlink ref="B6:L6" location="Construction!C88" display="Material estimation for MDH dwellings" xr:uid="{19033DBD-FD8D-4FE1-9F13-FDC14129948F}"/>
    <hyperlink ref="B7:L7" location="Construction!B120" display="Total quantity of materials 1991-2021 " xr:uid="{010AE4F6-3035-4354-862F-4B8212495222}"/>
  </hyperlinks>
  <pageMargins left="0.7" right="0.7" top="0.75" bottom="0.75" header="0.3" footer="0.3"/>
  <pageSetup paperSize="9" orientation="portrait" horizontalDpi="0"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BE9CDA-F0CF-4A34-87DA-43B05D79CC24}">
  <sheetPr>
    <tabColor theme="7"/>
  </sheetPr>
  <dimension ref="B2:AI73"/>
  <sheetViews>
    <sheetView topLeftCell="Z1" zoomScale="98" zoomScaleNormal="98" workbookViewId="0">
      <selection activeCell="L29" sqref="L29"/>
    </sheetView>
  </sheetViews>
  <sheetFormatPr defaultColWidth="8.6328125" defaultRowHeight="14.5"/>
  <cols>
    <col min="2" max="2" width="12.453125" customWidth="1"/>
    <col min="3" max="3" width="18.36328125" customWidth="1"/>
    <col min="4" max="4" width="11" customWidth="1"/>
    <col min="5" max="5" width="16.453125" customWidth="1"/>
    <col min="6" max="6" width="13.6328125" customWidth="1"/>
    <col min="7" max="7" width="14.36328125" customWidth="1"/>
    <col min="9" max="10" width="15.453125" customWidth="1"/>
    <col min="12" max="12" width="12.36328125" customWidth="1"/>
    <col min="14" max="14" width="15.36328125" customWidth="1"/>
    <col min="17" max="17" width="16.36328125" customWidth="1"/>
    <col min="19" max="19" width="23.453125" customWidth="1"/>
    <col min="22" max="22" width="13.36328125" customWidth="1"/>
    <col min="24" max="24" width="14.453125" customWidth="1"/>
    <col min="27" max="27" width="13.6328125" customWidth="1"/>
    <col min="29" max="29" width="17.6328125" customWidth="1"/>
    <col min="32" max="32" width="13.453125" customWidth="1"/>
    <col min="34" max="34" width="16.6328125" customWidth="1"/>
    <col min="35" max="35" width="15.6328125" customWidth="1"/>
  </cols>
  <sheetData>
    <row r="2" spans="2:35">
      <c r="B2" s="285" t="s">
        <v>202</v>
      </c>
      <c r="C2" s="286"/>
      <c r="D2" s="286"/>
      <c r="E2" s="287"/>
      <c r="F2" s="1"/>
      <c r="G2" s="285" t="s">
        <v>203</v>
      </c>
      <c r="H2" s="286"/>
      <c r="I2" s="286"/>
      <c r="J2" s="287"/>
      <c r="L2" s="285" t="s">
        <v>204</v>
      </c>
      <c r="M2" s="286"/>
      <c r="N2" s="286"/>
      <c r="O2" s="287"/>
      <c r="P2" s="1"/>
      <c r="Q2" s="285" t="s">
        <v>205</v>
      </c>
      <c r="R2" s="286"/>
      <c r="S2" s="286"/>
      <c r="T2" s="287"/>
      <c r="V2" s="285" t="s">
        <v>206</v>
      </c>
      <c r="W2" s="286"/>
      <c r="X2" s="286"/>
      <c r="Y2" s="287"/>
      <c r="AA2" s="285" t="s">
        <v>207</v>
      </c>
      <c r="AB2" s="286"/>
      <c r="AC2" s="286"/>
      <c r="AD2" s="287"/>
      <c r="AF2" s="285" t="s">
        <v>208</v>
      </c>
      <c r="AG2" s="286"/>
      <c r="AH2" s="286"/>
      <c r="AI2" s="287"/>
    </row>
    <row r="3" spans="2:35">
      <c r="B3" s="268" t="s">
        <v>209</v>
      </c>
      <c r="C3" s="266" t="s">
        <v>210</v>
      </c>
      <c r="D3" s="266"/>
      <c r="E3" s="2">
        <v>2.4</v>
      </c>
      <c r="G3" s="268" t="s">
        <v>209</v>
      </c>
      <c r="H3" s="266" t="s">
        <v>210</v>
      </c>
      <c r="I3" s="266"/>
      <c r="J3" s="2">
        <v>2.4</v>
      </c>
      <c r="L3" s="268" t="s">
        <v>209</v>
      </c>
      <c r="M3" s="266" t="s">
        <v>210</v>
      </c>
      <c r="N3" s="266"/>
      <c r="O3" s="2">
        <v>2.4</v>
      </c>
      <c r="Q3" s="288" t="s">
        <v>211</v>
      </c>
      <c r="R3" s="266" t="s">
        <v>212</v>
      </c>
      <c r="S3" s="266"/>
      <c r="T3" s="3">
        <v>2</v>
      </c>
      <c r="V3" s="268" t="s">
        <v>209</v>
      </c>
      <c r="W3" s="4" t="s">
        <v>213</v>
      </c>
      <c r="X3" s="4"/>
      <c r="Y3" s="3">
        <v>2</v>
      </c>
      <c r="AA3" s="268" t="s">
        <v>209</v>
      </c>
      <c r="AB3" s="267" t="s">
        <v>214</v>
      </c>
      <c r="AC3" s="267"/>
      <c r="AD3" s="2">
        <f>Construction!B61</f>
        <v>194.90318416523235</v>
      </c>
      <c r="AF3" s="268" t="s">
        <v>209</v>
      </c>
      <c r="AG3" s="267" t="s">
        <v>214</v>
      </c>
      <c r="AH3" s="267"/>
      <c r="AI3" s="10">
        <f>Construction!B91</f>
        <v>108.89565031069209</v>
      </c>
    </row>
    <row r="4" spans="2:35">
      <c r="B4" s="268"/>
      <c r="C4" s="266" t="s">
        <v>215</v>
      </c>
      <c r="D4" s="266"/>
      <c r="E4" s="2">
        <v>0.6</v>
      </c>
      <c r="G4" s="268"/>
      <c r="H4" s="266" t="s">
        <v>215</v>
      </c>
      <c r="I4" s="266"/>
      <c r="J4" s="2">
        <v>0.6</v>
      </c>
      <c r="L4" s="268"/>
      <c r="M4" s="266" t="s">
        <v>215</v>
      </c>
      <c r="N4" s="266"/>
      <c r="O4" s="2">
        <v>0.6</v>
      </c>
      <c r="Q4" s="288"/>
      <c r="R4" s="266" t="s">
        <v>216</v>
      </c>
      <c r="S4" s="266"/>
      <c r="T4" s="3">
        <v>1.65</v>
      </c>
      <c r="V4" s="268"/>
      <c r="W4" s="4" t="s">
        <v>217</v>
      </c>
      <c r="X4" s="4"/>
      <c r="Y4" s="3">
        <v>1.65</v>
      </c>
      <c r="AA4" s="268"/>
      <c r="AB4" s="266" t="s">
        <v>218</v>
      </c>
      <c r="AC4" s="266"/>
      <c r="AD4" s="2">
        <v>25</v>
      </c>
      <c r="AF4" s="268"/>
      <c r="AG4" s="266" t="s">
        <v>218</v>
      </c>
      <c r="AH4" s="266"/>
      <c r="AI4" s="2">
        <v>25</v>
      </c>
    </row>
    <row r="5" spans="2:35">
      <c r="B5" s="268"/>
      <c r="C5" s="266" t="s">
        <v>219</v>
      </c>
      <c r="D5" s="266"/>
      <c r="E5" s="2">
        <v>0.8</v>
      </c>
      <c r="G5" s="268"/>
      <c r="H5" s="266" t="s">
        <v>219</v>
      </c>
      <c r="I5" s="266"/>
      <c r="J5" s="2">
        <v>0.8</v>
      </c>
      <c r="L5" s="268"/>
      <c r="M5" s="266" t="s">
        <v>219</v>
      </c>
      <c r="N5" s="266"/>
      <c r="O5" s="2">
        <v>0.8</v>
      </c>
      <c r="Q5" s="288"/>
      <c r="R5" s="266" t="s">
        <v>220</v>
      </c>
      <c r="S5" s="266"/>
      <c r="T5" s="3">
        <f>T3*T4</f>
        <v>3.3</v>
      </c>
      <c r="V5" s="268"/>
      <c r="W5" s="4" t="s">
        <v>221</v>
      </c>
      <c r="X5" s="4"/>
      <c r="Y5" s="3">
        <v>0.6</v>
      </c>
      <c r="AA5" s="268"/>
      <c r="AB5" s="4" t="s">
        <v>222</v>
      </c>
      <c r="AC5" s="4"/>
      <c r="AD5" s="3">
        <f>SQRT(AD3)</f>
        <v>13.960773050416382</v>
      </c>
      <c r="AE5" s="5"/>
      <c r="AF5" s="268"/>
      <c r="AG5" s="4" t="s">
        <v>222</v>
      </c>
      <c r="AH5" s="4"/>
      <c r="AI5" s="3">
        <f>SQRT(AI3)</f>
        <v>10.435307868515048</v>
      </c>
    </row>
    <row r="6" spans="2:35">
      <c r="B6" s="6"/>
      <c r="C6" s="266"/>
      <c r="D6" s="266"/>
      <c r="E6" s="2"/>
      <c r="G6" s="6"/>
      <c r="H6" s="266"/>
      <c r="I6" s="266"/>
      <c r="J6" s="2"/>
      <c r="L6" s="6"/>
      <c r="M6" s="266"/>
      <c r="N6" s="266"/>
      <c r="O6" s="2"/>
      <c r="Q6" s="6"/>
      <c r="R6" s="4"/>
      <c r="S6" s="4"/>
      <c r="T6" s="3"/>
      <c r="V6" s="268"/>
      <c r="W6" s="4" t="s">
        <v>161</v>
      </c>
      <c r="X6" s="7"/>
      <c r="Y6" s="2">
        <f>Y3*Y4</f>
        <v>3.3</v>
      </c>
      <c r="AA6" s="268"/>
      <c r="AB6" s="4" t="s">
        <v>223</v>
      </c>
      <c r="AC6" s="4"/>
      <c r="AD6" s="3">
        <f>(AD5/2)/COS(RADIANS(AD4))</f>
        <v>7.7020043577380326</v>
      </c>
      <c r="AF6" s="268"/>
      <c r="AG6" s="4" t="s">
        <v>223</v>
      </c>
      <c r="AH6" s="4"/>
      <c r="AI6" s="3">
        <f>(AI5/2)/COS(RADIANS(AI4))</f>
        <v>5.7570441398475252</v>
      </c>
    </row>
    <row r="7" spans="2:35">
      <c r="B7" s="268" t="s">
        <v>224</v>
      </c>
      <c r="C7" s="266" t="s">
        <v>225</v>
      </c>
      <c r="D7" s="266"/>
      <c r="E7" s="8">
        <v>4.4999999999999998E-2</v>
      </c>
      <c r="G7" s="268" t="s">
        <v>224</v>
      </c>
      <c r="H7" s="266" t="s">
        <v>225</v>
      </c>
      <c r="I7" s="266"/>
      <c r="J7" s="8">
        <v>4.4999999999999998E-2</v>
      </c>
      <c r="L7" s="268" t="s">
        <v>224</v>
      </c>
      <c r="M7" s="266" t="s">
        <v>226</v>
      </c>
      <c r="N7" s="266"/>
      <c r="O7" s="64">
        <f>(89*0.75+2*(40-1.5)*0.75+2*11*0.75)/1000000</f>
        <v>1.4100000000000001E-4</v>
      </c>
      <c r="Q7" s="288" t="s">
        <v>227</v>
      </c>
      <c r="R7" s="9" t="s">
        <v>228</v>
      </c>
      <c r="S7" s="9"/>
      <c r="T7" s="10">
        <f>460</f>
        <v>460</v>
      </c>
      <c r="V7" s="6"/>
      <c r="W7" s="4"/>
      <c r="X7" s="7"/>
      <c r="Y7" s="2"/>
      <c r="AA7" s="268"/>
      <c r="AB7" s="9" t="s">
        <v>229</v>
      </c>
      <c r="AC7" s="9"/>
      <c r="AD7" s="3">
        <f>TAN(RADIANS(AD4))*(AD5/2)</f>
        <v>3.2550076935865393</v>
      </c>
      <c r="AF7" s="268"/>
      <c r="AG7" s="9" t="s">
        <v>229</v>
      </c>
      <c r="AH7" s="9"/>
      <c r="AI7" s="3">
        <f>TAN(RADIANS(AI4))*(AI5/2)</f>
        <v>2.4330319871468409</v>
      </c>
    </row>
    <row r="8" spans="2:35">
      <c r="B8" s="268"/>
      <c r="C8" s="266" t="s">
        <v>230</v>
      </c>
      <c r="D8" s="266"/>
      <c r="E8" s="8">
        <v>0.09</v>
      </c>
      <c r="G8" s="268"/>
      <c r="H8" s="266" t="s">
        <v>230</v>
      </c>
      <c r="I8" s="266"/>
      <c r="J8" s="8">
        <v>0.09</v>
      </c>
      <c r="L8" s="268"/>
      <c r="M8" s="266" t="s">
        <v>231</v>
      </c>
      <c r="N8" s="266"/>
      <c r="O8" s="64">
        <f>(89*0.75+2*(37-1.5)*0.75+2*7.5*0.75)/1000000</f>
        <v>1.3124999999999999E-4</v>
      </c>
      <c r="Q8" s="288"/>
      <c r="R8" s="4" t="s">
        <v>232</v>
      </c>
      <c r="S8" s="4"/>
      <c r="T8" s="2">
        <v>2400</v>
      </c>
      <c r="V8" s="11" t="s">
        <v>233</v>
      </c>
      <c r="W8" s="267" t="s">
        <v>228</v>
      </c>
      <c r="X8" s="267"/>
      <c r="Y8" s="3">
        <v>425</v>
      </c>
      <c r="AA8" s="268"/>
      <c r="AB8" s="4" t="s">
        <v>234</v>
      </c>
      <c r="AC8" s="4"/>
      <c r="AD8" s="2">
        <v>60</v>
      </c>
      <c r="AF8" s="268"/>
      <c r="AG8" s="4" t="s">
        <v>234</v>
      </c>
      <c r="AH8" s="4"/>
      <c r="AI8" s="2">
        <v>60</v>
      </c>
    </row>
    <row r="9" spans="2:35">
      <c r="B9" s="268"/>
      <c r="C9" s="267" t="s">
        <v>235</v>
      </c>
      <c r="D9" s="267"/>
      <c r="E9" s="2">
        <v>425</v>
      </c>
      <c r="G9" s="268"/>
      <c r="H9" s="267" t="s">
        <v>235</v>
      </c>
      <c r="I9" s="267"/>
      <c r="J9" s="2">
        <v>425</v>
      </c>
      <c r="L9" s="268"/>
      <c r="M9" s="267" t="s">
        <v>236</v>
      </c>
      <c r="N9" s="267"/>
      <c r="O9" s="2">
        <v>7850</v>
      </c>
      <c r="Q9" s="6"/>
      <c r="R9" s="267" t="s">
        <v>214</v>
      </c>
      <c r="S9" s="267"/>
      <c r="T9" s="2">
        <f>Construction!B61</f>
        <v>194.90318416523235</v>
      </c>
      <c r="V9" s="6"/>
      <c r="W9" s="4"/>
      <c r="X9" s="4"/>
      <c r="Y9" s="2"/>
      <c r="AA9" s="268"/>
      <c r="AB9" s="4" t="s">
        <v>237</v>
      </c>
      <c r="AC9" s="4"/>
      <c r="AD9" s="3">
        <f>((AD7/SIN(RADIANS(AD8)))+(((AD5/2)-(AD7/TAN(RADIANS(AD8))))*SIN(RADIANS(AD4))))*2</f>
        <v>11.828760182753385</v>
      </c>
      <c r="AF9" s="268"/>
      <c r="AG9" s="4" t="s">
        <v>237</v>
      </c>
      <c r="AH9" s="4"/>
      <c r="AI9" s="3">
        <f>((AI7/SIN(RADIANS(AI8)))+(((AI5/2)-(AI7/TAN(RADIANS(AI8))))*SIN(RADIANS(AI4))))*2</f>
        <v>8.8416847522768354</v>
      </c>
    </row>
    <row r="10" spans="2:35">
      <c r="B10" s="6"/>
      <c r="C10" s="266"/>
      <c r="D10" s="266"/>
      <c r="E10" s="2"/>
      <c r="G10" s="6"/>
      <c r="H10" s="266"/>
      <c r="I10" s="266"/>
      <c r="J10" s="2"/>
      <c r="L10" s="6"/>
      <c r="M10" s="266"/>
      <c r="N10" s="266"/>
      <c r="O10" s="2"/>
      <c r="Q10" s="6"/>
      <c r="R10" s="4"/>
      <c r="S10" s="4"/>
      <c r="T10" s="2"/>
      <c r="V10" s="268" t="s">
        <v>238</v>
      </c>
      <c r="W10" s="266" t="s">
        <v>225</v>
      </c>
      <c r="X10" s="266"/>
      <c r="Y10" s="3">
        <v>0.14000000000000001</v>
      </c>
      <c r="AA10" s="268"/>
      <c r="AB10" s="267" t="s">
        <v>239</v>
      </c>
      <c r="AC10" s="267"/>
      <c r="AD10" s="2">
        <v>1.2</v>
      </c>
      <c r="AF10" s="268"/>
      <c r="AG10" s="267" t="s">
        <v>239</v>
      </c>
      <c r="AH10" s="267"/>
      <c r="AI10" s="2">
        <v>1.2</v>
      </c>
    </row>
    <row r="11" spans="2:35">
      <c r="B11" s="268" t="s">
        <v>240</v>
      </c>
      <c r="C11" s="266" t="s">
        <v>241</v>
      </c>
      <c r="D11" s="266"/>
      <c r="E11" s="8">
        <f>E3*E7*E8*2</f>
        <v>1.9439999999999999E-2</v>
      </c>
      <c r="G11" s="268" t="s">
        <v>240</v>
      </c>
      <c r="H11" s="266" t="s">
        <v>241</v>
      </c>
      <c r="I11" s="266"/>
      <c r="J11" s="8">
        <f>J3*J7*J8*2</f>
        <v>1.9439999999999999E-2</v>
      </c>
      <c r="L11" s="268" t="s">
        <v>240</v>
      </c>
      <c r="M11" s="266" t="s">
        <v>241</v>
      </c>
      <c r="N11" s="266"/>
      <c r="O11" s="12">
        <f>O3*O8*2</f>
        <v>6.2999999999999992E-4</v>
      </c>
      <c r="Q11" s="268" t="s">
        <v>242</v>
      </c>
      <c r="R11" s="4" t="s">
        <v>243</v>
      </c>
      <c r="S11" s="4"/>
      <c r="T11" s="3">
        <v>0.3</v>
      </c>
      <c r="V11" s="268"/>
      <c r="W11" s="292" t="s">
        <v>230</v>
      </c>
      <c r="X11" s="292"/>
      <c r="Y11" s="2">
        <v>0.09</v>
      </c>
      <c r="AA11" s="268"/>
      <c r="AB11" s="267" t="s">
        <v>244</v>
      </c>
      <c r="AC11" s="267"/>
      <c r="AD11" s="2">
        <v>0.8</v>
      </c>
      <c r="AF11" s="268"/>
      <c r="AG11" s="267" t="s">
        <v>244</v>
      </c>
      <c r="AH11" s="267"/>
      <c r="AI11" s="2">
        <v>0.8</v>
      </c>
    </row>
    <row r="12" spans="2:35">
      <c r="B12" s="268"/>
      <c r="C12" s="266" t="s">
        <v>245</v>
      </c>
      <c r="D12" s="266"/>
      <c r="E12" s="8">
        <f>(E4+E7)*E7*E8*2</f>
        <v>5.2245E-3</v>
      </c>
      <c r="G12" s="268"/>
      <c r="H12" s="266" t="s">
        <v>245</v>
      </c>
      <c r="I12" s="266"/>
      <c r="J12" s="8">
        <f>(J4+J7)*J7*J8*3</f>
        <v>7.83675E-3</v>
      </c>
      <c r="L12" s="268"/>
      <c r="M12" s="266" t="s">
        <v>245</v>
      </c>
      <c r="N12" s="266"/>
      <c r="O12" s="12">
        <f>O4*O7+O4*O8</f>
        <v>1.6334999999999999E-4</v>
      </c>
      <c r="Q12" s="268"/>
      <c r="R12" s="4" t="s">
        <v>246</v>
      </c>
      <c r="S12" s="4"/>
      <c r="T12" s="3">
        <v>0.1</v>
      </c>
      <c r="V12" s="6"/>
      <c r="W12" s="4"/>
      <c r="X12" s="4"/>
      <c r="Y12" s="2"/>
      <c r="AA12" s="6"/>
      <c r="AB12" s="4"/>
      <c r="AC12" s="4"/>
      <c r="AD12" s="2"/>
      <c r="AF12" s="6"/>
      <c r="AG12" s="4"/>
      <c r="AH12" s="4"/>
      <c r="AI12" s="2"/>
    </row>
    <row r="13" spans="2:35">
      <c r="B13" s="268"/>
      <c r="C13" s="266" t="s">
        <v>247</v>
      </c>
      <c r="D13" s="266"/>
      <c r="E13" s="8">
        <f>(E4-E7)*E7*E8*(ROUNDUP((E3/E5),0)-1)</f>
        <v>4.4954999999999995E-3</v>
      </c>
      <c r="G13" s="268"/>
      <c r="H13" s="266" t="s">
        <v>247</v>
      </c>
      <c r="I13" s="266"/>
      <c r="J13" s="8">
        <f>(J4-J7)*J7*J8*(ROUNDUP((J3/J5),0)-1)</f>
        <v>4.4954999999999995E-3</v>
      </c>
      <c r="L13" s="268"/>
      <c r="M13" s="266" t="s">
        <v>247</v>
      </c>
      <c r="N13" s="266"/>
      <c r="O13" s="12">
        <f>O4*O8*(ROUNDUP((J3/J5),0)-1)</f>
        <v>1.5749999999999998E-4</v>
      </c>
      <c r="Q13" s="268"/>
      <c r="R13" s="9" t="s">
        <v>248</v>
      </c>
      <c r="S13" s="9"/>
      <c r="T13" s="3">
        <f>0.125*0.125</f>
        <v>1.5625E-2</v>
      </c>
      <c r="V13" s="288" t="s">
        <v>249</v>
      </c>
      <c r="W13" s="266" t="s">
        <v>225</v>
      </c>
      <c r="X13" s="266"/>
      <c r="Y13" s="3">
        <v>0.14000000000000001</v>
      </c>
      <c r="AA13" s="11" t="s">
        <v>233</v>
      </c>
      <c r="AB13" s="267" t="s">
        <v>228</v>
      </c>
      <c r="AC13" s="267"/>
      <c r="AD13" s="3">
        <v>425</v>
      </c>
      <c r="AF13" s="11" t="s">
        <v>233</v>
      </c>
      <c r="AG13" s="267" t="s">
        <v>228</v>
      </c>
      <c r="AH13" s="267"/>
      <c r="AI13" s="3">
        <v>425</v>
      </c>
    </row>
    <row r="14" spans="2:35">
      <c r="B14" s="268"/>
      <c r="C14" s="266" t="s">
        <v>250</v>
      </c>
      <c r="D14" s="266"/>
      <c r="E14" s="8">
        <f>SUM(E11:E13)</f>
        <v>2.9159999999999998E-2</v>
      </c>
      <c r="G14" s="268"/>
      <c r="H14" s="266" t="s">
        <v>250</v>
      </c>
      <c r="I14" s="266"/>
      <c r="J14" s="8">
        <f>SUM(J11:J13)</f>
        <v>3.1772250000000002E-2</v>
      </c>
      <c r="L14" s="268"/>
      <c r="M14" s="266" t="s">
        <v>250</v>
      </c>
      <c r="N14" s="266"/>
      <c r="O14" s="12">
        <f>SUM(O11:O13)</f>
        <v>9.5084999999999994E-4</v>
      </c>
      <c r="Q14" s="268"/>
      <c r="R14" s="9" t="s">
        <v>251</v>
      </c>
      <c r="S14" s="9"/>
      <c r="T14" s="3">
        <f>0.35*0.35*(T12+0.1)-(T13*T12)</f>
        <v>2.2937499999999996E-2</v>
      </c>
      <c r="V14" s="288"/>
      <c r="W14" s="292" t="s">
        <v>230</v>
      </c>
      <c r="X14" s="292"/>
      <c r="Y14" s="2">
        <v>4.4999999999999998E-2</v>
      </c>
      <c r="AA14" s="6"/>
      <c r="AB14" s="4"/>
      <c r="AC14" s="4"/>
      <c r="AD14" s="2"/>
      <c r="AF14" s="6"/>
      <c r="AG14" s="4"/>
      <c r="AH14" s="4"/>
      <c r="AI14" s="2"/>
    </row>
    <row r="15" spans="2:35">
      <c r="B15" s="6"/>
      <c r="C15" s="4"/>
      <c r="D15" s="4"/>
      <c r="E15" s="8"/>
      <c r="G15" s="6"/>
      <c r="H15" s="4"/>
      <c r="I15" s="4"/>
      <c r="J15" s="8"/>
      <c r="L15" s="6"/>
      <c r="M15" s="4"/>
      <c r="N15" s="4"/>
      <c r="O15" s="8"/>
      <c r="Q15" s="6"/>
      <c r="R15" s="4"/>
      <c r="S15" s="4"/>
      <c r="T15" s="2"/>
      <c r="V15" s="6"/>
      <c r="W15" s="4"/>
      <c r="X15" s="4"/>
      <c r="Y15" s="2"/>
      <c r="AA15" s="268" t="s">
        <v>224</v>
      </c>
      <c r="AB15" s="4" t="s">
        <v>252</v>
      </c>
      <c r="AC15" s="4"/>
      <c r="AD15" s="3">
        <f>0.19*0.045</f>
        <v>8.5500000000000003E-3</v>
      </c>
      <c r="AE15" s="5"/>
      <c r="AF15" s="268" t="s">
        <v>224</v>
      </c>
      <c r="AG15" s="4" t="s">
        <v>252</v>
      </c>
      <c r="AH15" s="4"/>
      <c r="AI15" s="3">
        <f>0.19*0.045</f>
        <v>8.5500000000000003E-3</v>
      </c>
    </row>
    <row r="16" spans="2:35">
      <c r="B16" s="268" t="s">
        <v>253</v>
      </c>
      <c r="C16" s="266" t="s">
        <v>254</v>
      </c>
      <c r="D16" s="266"/>
      <c r="E16" s="8">
        <f>(E3)*(E4+E7)</f>
        <v>1.548</v>
      </c>
      <c r="G16" s="268" t="s">
        <v>253</v>
      </c>
      <c r="H16" s="266" t="s">
        <v>254</v>
      </c>
      <c r="I16" s="266"/>
      <c r="J16" s="8">
        <f>(J3)*(J4+J7)</f>
        <v>1.548</v>
      </c>
      <c r="L16" s="268" t="s">
        <v>253</v>
      </c>
      <c r="M16" s="266" t="s">
        <v>254</v>
      </c>
      <c r="N16" s="266"/>
      <c r="O16" s="8">
        <f>O3*O4</f>
        <v>1.44</v>
      </c>
      <c r="Q16" s="268" t="s">
        <v>255</v>
      </c>
      <c r="R16" s="4" t="s">
        <v>243</v>
      </c>
      <c r="S16" s="4"/>
      <c r="T16" s="3">
        <v>0.3</v>
      </c>
      <c r="V16" s="268" t="s">
        <v>253</v>
      </c>
      <c r="W16" s="266" t="s">
        <v>256</v>
      </c>
      <c r="X16" s="266"/>
      <c r="Y16" s="13">
        <f>(Y3*Y10*Y11*Y8)/Y6</f>
        <v>3.245454545454546</v>
      </c>
      <c r="AA16" s="268"/>
      <c r="AB16" s="4" t="s">
        <v>257</v>
      </c>
      <c r="AC16" s="4"/>
      <c r="AD16" s="3">
        <f>0.19*0.045</f>
        <v>8.5500000000000003E-3</v>
      </c>
      <c r="AF16" s="268"/>
      <c r="AG16" s="4" t="s">
        <v>257</v>
      </c>
      <c r="AH16" s="4"/>
      <c r="AI16" s="3">
        <f>0.19*0.045</f>
        <v>8.5500000000000003E-3</v>
      </c>
    </row>
    <row r="17" spans="2:35">
      <c r="B17" s="268"/>
      <c r="C17" s="289" t="s">
        <v>258</v>
      </c>
      <c r="D17" s="289"/>
      <c r="E17" s="291">
        <f>E14/E16</f>
        <v>1.8837209302325578E-2</v>
      </c>
      <c r="G17" s="268"/>
      <c r="H17" s="289" t="s">
        <v>258</v>
      </c>
      <c r="I17" s="289"/>
      <c r="J17" s="291">
        <f>J14/J16</f>
        <v>2.0524709302325583E-2</v>
      </c>
      <c r="L17" s="268"/>
      <c r="M17" s="289" t="s">
        <v>259</v>
      </c>
      <c r="N17" s="289"/>
      <c r="O17" s="291">
        <f>O14/O16</f>
        <v>6.6031249999999998E-4</v>
      </c>
      <c r="Q17" s="268"/>
      <c r="R17" s="4" t="s">
        <v>246</v>
      </c>
      <c r="S17" s="4"/>
      <c r="T17" s="3">
        <v>0.8</v>
      </c>
      <c r="V17" s="268"/>
      <c r="W17" s="266" t="s">
        <v>260</v>
      </c>
      <c r="X17" s="266"/>
      <c r="Y17" s="13">
        <f>((Y4/Y5)*Y13*Y14*Y8)/Y6</f>
        <v>2.2312500000000002</v>
      </c>
      <c r="AA17" s="268"/>
      <c r="AB17" s="4" t="s">
        <v>261</v>
      </c>
      <c r="AC17" s="4"/>
      <c r="AD17" s="12">
        <f>0.09*0.07</f>
        <v>6.3E-3</v>
      </c>
      <c r="AF17" s="268"/>
      <c r="AG17" s="4" t="s">
        <v>261</v>
      </c>
      <c r="AH17" s="4"/>
      <c r="AI17" s="12">
        <f>0.09*0.07</f>
        <v>6.3E-3</v>
      </c>
    </row>
    <row r="18" spans="2:35">
      <c r="B18" s="268"/>
      <c r="C18" s="289"/>
      <c r="D18" s="289"/>
      <c r="E18" s="291"/>
      <c r="G18" s="268"/>
      <c r="H18" s="289"/>
      <c r="I18" s="289"/>
      <c r="J18" s="291"/>
      <c r="L18" s="268"/>
      <c r="M18" s="289"/>
      <c r="N18" s="289"/>
      <c r="O18" s="291"/>
      <c r="Q18" s="268"/>
      <c r="R18" s="9" t="s">
        <v>248</v>
      </c>
      <c r="S18" s="9"/>
      <c r="T18" s="3">
        <f>0.125*0.125</f>
        <v>1.5625E-2</v>
      </c>
      <c r="V18" s="270"/>
      <c r="W18" s="272" t="s">
        <v>262</v>
      </c>
      <c r="X18" s="272"/>
      <c r="Y18" s="14">
        <f>Y16+Y17</f>
        <v>5.4767045454545462</v>
      </c>
      <c r="AA18" s="268"/>
      <c r="AB18" s="266" t="s">
        <v>263</v>
      </c>
      <c r="AC18" s="266"/>
      <c r="AD18" s="12">
        <f>0.07*0.045</f>
        <v>3.15E-3</v>
      </c>
      <c r="AF18" s="268"/>
      <c r="AG18" s="266" t="s">
        <v>263</v>
      </c>
      <c r="AH18" s="266"/>
      <c r="AI18" s="12">
        <f>0.07*0.045</f>
        <v>3.15E-3</v>
      </c>
    </row>
    <row r="19" spans="2:35">
      <c r="B19" s="268"/>
      <c r="C19" s="289" t="s">
        <v>264</v>
      </c>
      <c r="D19" s="289"/>
      <c r="E19" s="290">
        <f>E17*E9</f>
        <v>8.0058139534883708</v>
      </c>
      <c r="G19" s="268"/>
      <c r="H19" s="289" t="s">
        <v>264</v>
      </c>
      <c r="I19" s="289"/>
      <c r="J19" s="290">
        <f>J17*J9</f>
        <v>8.7230014534883722</v>
      </c>
      <c r="L19" s="268"/>
      <c r="M19" s="289" t="s">
        <v>265</v>
      </c>
      <c r="N19" s="289"/>
      <c r="O19" s="290">
        <f>O17*O9</f>
        <v>5.1834531249999998</v>
      </c>
      <c r="Q19" s="268"/>
      <c r="R19" s="9" t="s">
        <v>251</v>
      </c>
      <c r="S19" s="9"/>
      <c r="T19" s="3">
        <f>0.35*0.35*(T17+0.1)-(T18*T17)</f>
        <v>9.774999999999999E-2</v>
      </c>
      <c r="V19" s="273" t="str">
        <f>TEXT(Y18,("#.##"))&amp;" kg/m² floor area"</f>
        <v>5.48 kg/m² floor area</v>
      </c>
      <c r="W19" s="274"/>
      <c r="X19" s="274"/>
      <c r="Y19" s="275"/>
      <c r="AA19" s="15"/>
      <c r="AB19" s="266"/>
      <c r="AC19" s="266"/>
      <c r="AD19" s="12"/>
      <c r="AF19" s="15"/>
      <c r="AG19" s="266"/>
      <c r="AH19" s="266"/>
      <c r="AI19" s="12"/>
    </row>
    <row r="20" spans="2:35">
      <c r="B20" s="268"/>
      <c r="C20" s="289"/>
      <c r="D20" s="289"/>
      <c r="E20" s="290"/>
      <c r="G20" s="268"/>
      <c r="H20" s="289"/>
      <c r="I20" s="289"/>
      <c r="J20" s="290"/>
      <c r="L20" s="268"/>
      <c r="M20" s="289"/>
      <c r="N20" s="289"/>
      <c r="O20" s="290"/>
      <c r="Q20" s="6"/>
      <c r="R20" s="4"/>
      <c r="S20" s="4"/>
      <c r="T20" s="2"/>
      <c r="V20" s="276"/>
      <c r="W20" s="277"/>
      <c r="X20" s="277"/>
      <c r="Y20" s="278"/>
      <c r="AA20" s="268" t="s">
        <v>253</v>
      </c>
      <c r="AB20" s="267" t="s">
        <v>266</v>
      </c>
      <c r="AC20" s="267"/>
      <c r="AD20" s="16">
        <f>(AD5*AD16+2*AD6*AD15+AD9*AD17)*AD13</f>
        <v>138.37578113113389</v>
      </c>
      <c r="AF20" s="268" t="s">
        <v>253</v>
      </c>
      <c r="AG20" s="267" t="s">
        <v>266</v>
      </c>
      <c r="AH20" s="267"/>
      <c r="AI20" s="16">
        <f>(AI5*AI16+2*AI6*AI15+AI9*AI17)*AI13</f>
        <v>103.43222917777967</v>
      </c>
    </row>
    <row r="21" spans="2:35">
      <c r="B21" s="279" t="str">
        <f>TEXT(E19,("#.##"))&amp;" kg/m² internal wall framing"</f>
        <v>8.01 kg/m² internal wall framing</v>
      </c>
      <c r="C21" s="280"/>
      <c r="D21" s="280"/>
      <c r="E21" s="281"/>
      <c r="G21" s="279" t="str">
        <f>TEXT(J19,("#.##"))&amp;" kg/m² external wall framing"</f>
        <v>8.72 kg/m² external wall framing</v>
      </c>
      <c r="H21" s="280"/>
      <c r="I21" s="280"/>
      <c r="J21" s="281"/>
      <c r="L21" s="279" t="str">
        <f>TEXT(O19,("#.##"))&amp;" kg/m² wall framing"</f>
        <v>5.18 kg/m² wall framing</v>
      </c>
      <c r="M21" s="280"/>
      <c r="N21" s="280"/>
      <c r="O21" s="281"/>
      <c r="Q21" s="268" t="s">
        <v>267</v>
      </c>
      <c r="R21" s="4" t="s">
        <v>268</v>
      </c>
      <c r="S21" s="4"/>
      <c r="T21" s="2">
        <v>9.6</v>
      </c>
      <c r="AA21" s="270"/>
      <c r="AB21" s="271" t="s">
        <v>269</v>
      </c>
      <c r="AC21" s="271"/>
      <c r="AD21" s="61">
        <f>AD20*(AD5/AD10)+(AD5*AD18*(AD6/AD11)*2*AD13)</f>
        <v>1969.7365933119245</v>
      </c>
      <c r="AF21" s="270"/>
      <c r="AG21" s="271" t="s">
        <v>269</v>
      </c>
      <c r="AH21" s="271"/>
      <c r="AI21" s="61">
        <f>AI20*(AI5/AI10)+(AI5*AI18*(AI6/AI11)*2*AI13)</f>
        <v>1100.5245921874061</v>
      </c>
    </row>
    <row r="22" spans="2:35">
      <c r="B22" s="282"/>
      <c r="C22" s="283"/>
      <c r="D22" s="283"/>
      <c r="E22" s="284"/>
      <c r="G22" s="282"/>
      <c r="H22" s="283"/>
      <c r="I22" s="283"/>
      <c r="J22" s="284"/>
      <c r="L22" s="282"/>
      <c r="M22" s="283"/>
      <c r="N22" s="283"/>
      <c r="O22" s="284"/>
      <c r="Q22" s="268"/>
      <c r="R22" s="4" t="s">
        <v>270</v>
      </c>
      <c r="S22" s="4"/>
      <c r="T22" s="2">
        <v>12.7</v>
      </c>
    </row>
    <row r="23" spans="2:35">
      <c r="C23" s="17"/>
      <c r="D23" s="18"/>
      <c r="E23" s="18"/>
      <c r="Q23" s="268"/>
      <c r="R23" s="4" t="s">
        <v>271</v>
      </c>
      <c r="S23" s="4"/>
      <c r="T23" s="13">
        <f>0.8*T21+0.2*T22</f>
        <v>10.219999999999999</v>
      </c>
      <c r="V23" s="285" t="s">
        <v>272</v>
      </c>
      <c r="W23" s="286"/>
      <c r="X23" s="286"/>
      <c r="Y23" s="287"/>
    </row>
    <row r="24" spans="2:35">
      <c r="Q24" s="268"/>
      <c r="R24" s="4" t="s">
        <v>273</v>
      </c>
      <c r="S24" s="4"/>
      <c r="T24" s="2">
        <v>120</v>
      </c>
      <c r="V24" s="268" t="s">
        <v>209</v>
      </c>
      <c r="W24" s="4" t="s">
        <v>213</v>
      </c>
      <c r="X24" s="4"/>
      <c r="Y24" s="3">
        <v>2</v>
      </c>
      <c r="AA24" s="285" t="s">
        <v>274</v>
      </c>
      <c r="AB24" s="286"/>
      <c r="AC24" s="286"/>
      <c r="AD24" s="287"/>
      <c r="AF24" s="285" t="s">
        <v>275</v>
      </c>
      <c r="AG24" s="286"/>
      <c r="AH24" s="286"/>
      <c r="AI24" s="287"/>
    </row>
    <row r="25" spans="2:35">
      <c r="B25" s="285" t="s">
        <v>276</v>
      </c>
      <c r="C25" s="286"/>
      <c r="D25" s="286"/>
      <c r="E25" s="286"/>
      <c r="F25" s="287"/>
      <c r="H25" s="285" t="s">
        <v>277</v>
      </c>
      <c r="I25" s="286"/>
      <c r="J25" s="287"/>
      <c r="K25" s="1"/>
      <c r="L25" s="1"/>
      <c r="Q25" s="6"/>
      <c r="R25" s="4"/>
      <c r="S25" s="4"/>
      <c r="T25" s="2"/>
      <c r="V25" s="268"/>
      <c r="W25" s="4" t="s">
        <v>217</v>
      </c>
      <c r="X25" s="4"/>
      <c r="Y25" s="3">
        <f>1.65</f>
        <v>1.65</v>
      </c>
      <c r="AA25" s="268" t="s">
        <v>209</v>
      </c>
      <c r="AB25" s="267" t="s">
        <v>214</v>
      </c>
      <c r="AC25" s="267"/>
      <c r="AD25" s="2">
        <f>Construction!B61</f>
        <v>194.90318416523235</v>
      </c>
      <c r="AF25" s="268" t="s">
        <v>209</v>
      </c>
      <c r="AG25" s="267" t="s">
        <v>214</v>
      </c>
      <c r="AH25" s="267"/>
      <c r="AI25" s="10">
        <f>Construction!B91</f>
        <v>108.89565031069209</v>
      </c>
    </row>
    <row r="26" spans="2:35" ht="15.75" customHeight="1">
      <c r="B26" s="6"/>
      <c r="C26" s="20" t="s">
        <v>278</v>
      </c>
      <c r="D26" s="21" t="s">
        <v>279</v>
      </c>
      <c r="E26" s="22" t="s">
        <v>280</v>
      </c>
      <c r="F26" s="23" t="s">
        <v>162</v>
      </c>
      <c r="H26" s="24" t="s">
        <v>281</v>
      </c>
      <c r="I26" s="25" t="s">
        <v>282</v>
      </c>
      <c r="J26" s="26" t="s">
        <v>283</v>
      </c>
      <c r="Q26" s="268" t="s">
        <v>284</v>
      </c>
      <c r="R26" s="4" t="s">
        <v>285</v>
      </c>
      <c r="S26" s="4"/>
      <c r="T26" s="10">
        <f>T9/T5</f>
        <v>59.061570959161322</v>
      </c>
      <c r="V26" s="268"/>
      <c r="W26" s="4" t="s">
        <v>221</v>
      </c>
      <c r="X26" s="4"/>
      <c r="Y26" s="3">
        <v>0.6</v>
      </c>
      <c r="AA26" s="268"/>
      <c r="AB26" s="266" t="s">
        <v>218</v>
      </c>
      <c r="AC26" s="266"/>
      <c r="AD26" s="2">
        <v>25</v>
      </c>
      <c r="AF26" s="268"/>
      <c r="AG26" s="266" t="s">
        <v>218</v>
      </c>
      <c r="AH26" s="266"/>
      <c r="AI26" s="2">
        <v>25</v>
      </c>
    </row>
    <row r="27" spans="2:35">
      <c r="B27" s="288" t="s">
        <v>286</v>
      </c>
      <c r="C27" s="27" t="s">
        <v>287</v>
      </c>
      <c r="D27" s="28">
        <v>0.54</v>
      </c>
      <c r="E27" s="29">
        <v>11.6</v>
      </c>
      <c r="F27" s="2">
        <v>0.09</v>
      </c>
      <c r="H27" s="6" t="s">
        <v>288</v>
      </c>
      <c r="I27" s="4"/>
      <c r="J27" s="2">
        <v>17</v>
      </c>
      <c r="Q27" s="268"/>
      <c r="R27" s="9" t="s">
        <v>289</v>
      </c>
      <c r="S27" s="9"/>
      <c r="T27" s="2">
        <f>ROUNDUP((T26-4*(T26^0.5-1)+6*(T26^0.5-2)+9),0)</f>
        <v>76</v>
      </c>
      <c r="V27" s="268"/>
      <c r="W27" s="4" t="s">
        <v>161</v>
      </c>
      <c r="X27" s="7"/>
      <c r="Y27" s="2">
        <f>Y24*Y25</f>
        <v>3.3</v>
      </c>
      <c r="AA27" s="268"/>
      <c r="AB27" s="4" t="s">
        <v>222</v>
      </c>
      <c r="AC27" s="4"/>
      <c r="AD27" s="3">
        <f>SQRT(AD25)</f>
        <v>13.960773050416382</v>
      </c>
      <c r="AF27" s="268"/>
      <c r="AG27" s="4" t="s">
        <v>222</v>
      </c>
      <c r="AH27" s="4"/>
      <c r="AI27" s="3">
        <f>SQRT(AI25)</f>
        <v>10.435307868515048</v>
      </c>
    </row>
    <row r="28" spans="2:35">
      <c r="B28" s="288"/>
      <c r="C28" s="27" t="s">
        <v>290</v>
      </c>
      <c r="D28" s="28">
        <v>0.25</v>
      </c>
      <c r="E28" s="29">
        <v>10.8</v>
      </c>
      <c r="F28" s="2">
        <v>0.09</v>
      </c>
      <c r="H28" s="6" t="s">
        <v>291</v>
      </c>
      <c r="I28" s="4">
        <v>9</v>
      </c>
      <c r="J28" s="2">
        <v>12.1</v>
      </c>
      <c r="Q28" s="268"/>
      <c r="R28" s="9" t="s">
        <v>255</v>
      </c>
      <c r="S28" s="9"/>
      <c r="T28" s="2">
        <f>ROUNDUP(((T23*195)/T24),0)</f>
        <v>17</v>
      </c>
      <c r="V28" s="6"/>
      <c r="W28" s="4"/>
      <c r="X28" s="7"/>
      <c r="Y28" s="2"/>
      <c r="AA28" s="268"/>
      <c r="AB28" s="4" t="s">
        <v>223</v>
      </c>
      <c r="AC28" s="4"/>
      <c r="AD28" s="3">
        <f>(AD27/2)/COS(RADIANS(AD26))</f>
        <v>7.7020043577380326</v>
      </c>
      <c r="AF28" s="268"/>
      <c r="AG28" s="4" t="s">
        <v>223</v>
      </c>
      <c r="AH28" s="4"/>
      <c r="AI28" s="3">
        <f>(AI27/2)/COS(RADIANS(AI26))</f>
        <v>5.7570441398475252</v>
      </c>
    </row>
    <row r="29" spans="2:35">
      <c r="B29" s="288"/>
      <c r="C29" s="4" t="s">
        <v>292</v>
      </c>
      <c r="D29" s="30">
        <v>0.1</v>
      </c>
      <c r="E29" s="4">
        <v>10.8</v>
      </c>
      <c r="F29" s="2">
        <v>0.09</v>
      </c>
      <c r="H29" s="6" t="s">
        <v>293</v>
      </c>
      <c r="I29" s="4">
        <v>9</v>
      </c>
      <c r="J29" s="2">
        <v>13</v>
      </c>
      <c r="P29" s="1"/>
      <c r="Q29" s="268"/>
      <c r="R29" s="9" t="s">
        <v>242</v>
      </c>
      <c r="S29" s="9"/>
      <c r="T29" s="2">
        <f>T27-T28</f>
        <v>59</v>
      </c>
      <c r="V29" s="11" t="s">
        <v>233</v>
      </c>
      <c r="W29" s="267" t="s">
        <v>294</v>
      </c>
      <c r="X29" s="267"/>
      <c r="Y29" s="3">
        <v>7850</v>
      </c>
      <c r="AA29" s="268"/>
      <c r="AB29" s="9" t="s">
        <v>229</v>
      </c>
      <c r="AC29" s="9"/>
      <c r="AD29" s="3">
        <f>TAN(RADIANS(AD26))*(AD27/2)</f>
        <v>3.2550076935865393</v>
      </c>
      <c r="AF29" s="268"/>
      <c r="AG29" s="9" t="s">
        <v>229</v>
      </c>
      <c r="AH29" s="9"/>
      <c r="AI29" s="3">
        <f>TAN(RADIANS(AI26))*(AI27/2)</f>
        <v>2.4330319871468409</v>
      </c>
    </row>
    <row r="30" spans="2:35">
      <c r="B30" s="288"/>
      <c r="C30" s="4"/>
      <c r="D30" s="31" t="s">
        <v>295</v>
      </c>
      <c r="E30" s="32">
        <f>(D27*E27+D28*E28+D29*E29)/SUM(D27:D29)</f>
        <v>11.285393258426966</v>
      </c>
      <c r="F30" s="33">
        <f>(D27*F27+D28*F28+D29*F29)/SUM(D27:D29)</f>
        <v>8.9999999999999983E-2</v>
      </c>
      <c r="H30" s="6" t="s">
        <v>296</v>
      </c>
      <c r="I30" s="4"/>
      <c r="J30" s="2">
        <v>16</v>
      </c>
      <c r="Q30" s="6"/>
      <c r="R30" s="4"/>
      <c r="S30" s="4"/>
      <c r="T30" s="2"/>
      <c r="V30" s="6"/>
      <c r="W30" s="4"/>
      <c r="X30" s="4"/>
      <c r="Y30" s="2"/>
      <c r="AA30" s="268"/>
      <c r="AB30" s="4" t="s">
        <v>234</v>
      </c>
      <c r="AC30" s="4"/>
      <c r="AD30" s="2">
        <v>60</v>
      </c>
      <c r="AF30" s="268"/>
      <c r="AG30" s="4" t="s">
        <v>234</v>
      </c>
      <c r="AH30" s="4"/>
      <c r="AI30" s="2">
        <v>60</v>
      </c>
    </row>
    <row r="31" spans="2:35">
      <c r="B31" s="6"/>
      <c r="C31" s="4"/>
      <c r="D31" s="4"/>
      <c r="E31" s="4"/>
      <c r="F31" s="2"/>
      <c r="H31" s="269" t="s">
        <v>297</v>
      </c>
      <c r="I31" s="4">
        <v>6</v>
      </c>
      <c r="J31" s="2">
        <v>8.6</v>
      </c>
      <c r="Q31" s="268" t="s">
        <v>298</v>
      </c>
      <c r="R31" s="9" t="s">
        <v>299</v>
      </c>
      <c r="S31" s="9"/>
      <c r="T31" s="13">
        <f>T29*T13*(T12+T11)*T7</f>
        <v>169.625</v>
      </c>
      <c r="V31" s="268" t="s">
        <v>224</v>
      </c>
      <c r="W31" s="266" t="s">
        <v>300</v>
      </c>
      <c r="X31" s="266"/>
      <c r="Y31" s="64">
        <f>O8</f>
        <v>1.3124999999999999E-4</v>
      </c>
      <c r="AA31" s="268"/>
      <c r="AB31" s="4" t="s">
        <v>237</v>
      </c>
      <c r="AC31" s="4"/>
      <c r="AD31" s="3">
        <f>((AD29/SIN(RADIANS(AD30)))+(((AD27/2)-(AD29/TAN(RADIANS(AD30))))*SIN(RADIANS(AD26))))*2</f>
        <v>11.828760182753385</v>
      </c>
      <c r="AF31" s="268"/>
      <c r="AG31" s="4" t="s">
        <v>237</v>
      </c>
      <c r="AH31" s="4"/>
      <c r="AI31" s="3">
        <f>((AI29/SIN(RADIANS(AI30)))+(((AI27/2)-(AI29/TAN(RADIANS(AI30))))*SIN(RADIANS(AI26))))*2</f>
        <v>8.8416847522768354</v>
      </c>
    </row>
    <row r="32" spans="2:35">
      <c r="B32" s="288" t="s">
        <v>301</v>
      </c>
      <c r="C32" s="27" t="s">
        <v>287</v>
      </c>
      <c r="D32" s="28">
        <v>0.54</v>
      </c>
      <c r="E32" s="29">
        <v>7.4</v>
      </c>
      <c r="F32" s="2">
        <v>180</v>
      </c>
      <c r="H32" s="269"/>
      <c r="I32" s="4">
        <v>4.5</v>
      </c>
      <c r="J32" s="2">
        <v>6.5</v>
      </c>
      <c r="N32" s="239"/>
      <c r="O32" s="239"/>
      <c r="P32" s="293"/>
      <c r="Q32" s="268"/>
      <c r="R32" s="9" t="s">
        <v>302</v>
      </c>
      <c r="S32" s="9"/>
      <c r="T32" s="13">
        <f>T28*T18*(T17+T16)*T7</f>
        <v>134.40625000000003</v>
      </c>
      <c r="V32" s="268"/>
      <c r="W32" s="292"/>
      <c r="X32" s="292"/>
      <c r="Y32" s="2"/>
      <c r="AA32" s="268"/>
      <c r="AB32" s="267" t="s">
        <v>239</v>
      </c>
      <c r="AC32" s="267"/>
      <c r="AD32" s="2">
        <v>1.2</v>
      </c>
      <c r="AF32" s="268"/>
      <c r="AG32" s="267" t="s">
        <v>239</v>
      </c>
      <c r="AH32" s="267"/>
      <c r="AI32" s="2">
        <v>1.2</v>
      </c>
    </row>
    <row r="33" spans="2:35">
      <c r="B33" s="288"/>
      <c r="C33" s="27" t="s">
        <v>290</v>
      </c>
      <c r="D33" s="28">
        <v>0.25</v>
      </c>
      <c r="E33" s="29">
        <v>7.3</v>
      </c>
      <c r="F33" s="2">
        <v>175</v>
      </c>
      <c r="H33" s="269"/>
      <c r="I33" s="4">
        <v>7.5</v>
      </c>
      <c r="J33" s="2">
        <v>10.8</v>
      </c>
      <c r="Q33" s="268"/>
      <c r="R33" s="56" t="s">
        <v>262</v>
      </c>
      <c r="S33" s="56"/>
      <c r="T33" s="57">
        <f>T31+T32</f>
        <v>304.03125</v>
      </c>
      <c r="V33" s="6"/>
      <c r="W33" s="4"/>
      <c r="X33" s="4"/>
      <c r="Y33" s="2"/>
      <c r="AA33" s="268"/>
      <c r="AB33" s="267" t="s">
        <v>244</v>
      </c>
      <c r="AC33" s="267"/>
      <c r="AD33" s="2">
        <v>0.8</v>
      </c>
      <c r="AF33" s="268"/>
      <c r="AG33" s="267" t="s">
        <v>244</v>
      </c>
      <c r="AH33" s="267"/>
      <c r="AI33" s="2">
        <v>0.8</v>
      </c>
    </row>
    <row r="34" spans="2:35">
      <c r="B34" s="288"/>
      <c r="C34" s="4" t="s">
        <v>292</v>
      </c>
      <c r="D34" s="30">
        <v>0.1</v>
      </c>
      <c r="E34" s="4">
        <v>8</v>
      </c>
      <c r="F34" s="2">
        <v>185</v>
      </c>
      <c r="H34" s="6" t="s">
        <v>303</v>
      </c>
      <c r="I34" s="4"/>
      <c r="J34" s="2">
        <v>25</v>
      </c>
      <c r="Q34" s="268" t="s">
        <v>304</v>
      </c>
      <c r="R34" s="9" t="s">
        <v>299</v>
      </c>
      <c r="S34" s="9"/>
      <c r="T34" s="13">
        <f>T14*T8*T29</f>
        <v>3247.9499999999994</v>
      </c>
      <c r="V34" s="268" t="s">
        <v>253</v>
      </c>
      <c r="W34" s="266" t="s">
        <v>256</v>
      </c>
      <c r="X34" s="266"/>
      <c r="Y34" s="13">
        <f>(Y24*Y25*Y31*Y29*2)/Y27</f>
        <v>2.0606249999999999</v>
      </c>
      <c r="AA34" s="6"/>
      <c r="AB34" s="4"/>
      <c r="AC34" s="4"/>
      <c r="AD34" s="2"/>
      <c r="AF34" s="6"/>
      <c r="AG34" s="4"/>
      <c r="AH34" s="4"/>
      <c r="AI34" s="2"/>
    </row>
    <row r="35" spans="2:35">
      <c r="B35" s="276"/>
      <c r="C35" s="35"/>
      <c r="D35" s="31" t="s">
        <v>295</v>
      </c>
      <c r="E35" s="32">
        <f>(D32*E32+D33*E33+D34*E34)/SUM(D32:D34)</f>
        <v>7.43932584269663</v>
      </c>
      <c r="F35" s="36">
        <f>(D32*F32+D33*F33+D34*F34)/SUM(D32:D34)</f>
        <v>179.15730337078651</v>
      </c>
      <c r="H35" s="24" t="s">
        <v>295</v>
      </c>
      <c r="I35" s="25">
        <f>AVERAGE(I27:I34)</f>
        <v>7.2</v>
      </c>
      <c r="J35" s="33">
        <f>AVERAGE(J27:J34)</f>
        <v>13.625</v>
      </c>
      <c r="Q35" s="268"/>
      <c r="R35" s="9" t="s">
        <v>302</v>
      </c>
      <c r="S35" s="9"/>
      <c r="T35" s="13">
        <f>T19*T8*T28</f>
        <v>3988.1999999999994</v>
      </c>
      <c r="U35" s="37"/>
      <c r="V35" s="268"/>
      <c r="W35" s="266" t="s">
        <v>260</v>
      </c>
      <c r="X35" s="266"/>
      <c r="Y35" s="13">
        <f>((Y25/Y26)*Y31*Y29)/Y27</f>
        <v>0.85859374999999993</v>
      </c>
      <c r="AA35" s="11" t="s">
        <v>233</v>
      </c>
      <c r="AB35" s="267" t="s">
        <v>294</v>
      </c>
      <c r="AC35" s="267"/>
      <c r="AD35" s="3">
        <v>7850</v>
      </c>
      <c r="AE35" s="37"/>
      <c r="AF35" s="11" t="s">
        <v>233</v>
      </c>
      <c r="AG35" s="267" t="s">
        <v>294</v>
      </c>
      <c r="AH35" s="267"/>
      <c r="AI35" s="3">
        <v>7850</v>
      </c>
    </row>
    <row r="36" spans="2:35">
      <c r="Q36" s="270"/>
      <c r="R36" s="34" t="s">
        <v>262</v>
      </c>
      <c r="S36" s="34"/>
      <c r="T36" s="61">
        <f>T34+T35</f>
        <v>7236.1499999999987</v>
      </c>
      <c r="V36" s="270"/>
      <c r="W36" s="272" t="s">
        <v>262</v>
      </c>
      <c r="X36" s="272"/>
      <c r="Y36" s="14">
        <f>Y34+Y35</f>
        <v>2.9192187499999998</v>
      </c>
      <c r="AA36" s="6"/>
      <c r="AB36" s="4"/>
      <c r="AC36" s="4"/>
      <c r="AD36" s="2"/>
      <c r="AF36" s="6"/>
      <c r="AG36" s="4"/>
      <c r="AH36" s="4"/>
      <c r="AI36" s="2"/>
    </row>
    <row r="37" spans="2:35" ht="15" customHeight="1">
      <c r="B37" s="285" t="s">
        <v>305</v>
      </c>
      <c r="C37" s="286"/>
      <c r="D37" s="286"/>
      <c r="E37" s="287"/>
      <c r="V37" s="273" t="str">
        <f>TEXT(Y36,("#.##"))&amp;" kg/m² floor area"</f>
        <v>2.92 kg/m² floor area</v>
      </c>
      <c r="W37" s="274"/>
      <c r="X37" s="274"/>
      <c r="Y37" s="275"/>
      <c r="AA37" s="268" t="s">
        <v>224</v>
      </c>
      <c r="AB37" s="4" t="s">
        <v>252</v>
      </c>
      <c r="AC37" s="4"/>
      <c r="AD37" s="64">
        <f>(89*0.75+2*(35-1.5)*0.75+2*7*0.75)/1000000</f>
        <v>1.2750000000000001E-4</v>
      </c>
      <c r="AF37" s="268" t="s">
        <v>224</v>
      </c>
      <c r="AG37" s="4" t="s">
        <v>252</v>
      </c>
      <c r="AH37" s="4"/>
      <c r="AI37" s="64">
        <f>AD37</f>
        <v>1.2750000000000001E-4</v>
      </c>
    </row>
    <row r="38" spans="2:35" ht="29">
      <c r="B38" s="6"/>
      <c r="C38" s="20" t="s">
        <v>306</v>
      </c>
      <c r="D38" s="22" t="s">
        <v>280</v>
      </c>
      <c r="E38" s="23" t="s">
        <v>282</v>
      </c>
      <c r="V38" s="276"/>
      <c r="W38" s="277"/>
      <c r="X38" s="277"/>
      <c r="Y38" s="278"/>
      <c r="AA38" s="268"/>
      <c r="AB38" s="4" t="s">
        <v>257</v>
      </c>
      <c r="AC38" s="4"/>
      <c r="AD38" s="64">
        <f>(89*0.75+2*(35-1.5)*0.75+2*7*0.75)/1000000</f>
        <v>1.2750000000000001E-4</v>
      </c>
      <c r="AF38" s="268"/>
      <c r="AG38" s="4" t="s">
        <v>257</v>
      </c>
      <c r="AH38" s="4"/>
      <c r="AI38" s="64">
        <f t="shared" ref="AI38:AI40" si="0">AD38</f>
        <v>1.2750000000000001E-4</v>
      </c>
    </row>
    <row r="39" spans="2:35">
      <c r="B39" s="288" t="s">
        <v>286</v>
      </c>
      <c r="C39" s="27"/>
      <c r="D39" s="29"/>
      <c r="E39" s="2"/>
      <c r="Q39" s="285" t="s">
        <v>307</v>
      </c>
      <c r="R39" s="286"/>
      <c r="S39" s="286"/>
      <c r="T39" s="287"/>
      <c r="Y39" s="38"/>
      <c r="AA39" s="268"/>
      <c r="AB39" s="4" t="s">
        <v>261</v>
      </c>
      <c r="AC39" s="4"/>
      <c r="AD39" s="64">
        <f>(89*0.75+2*(35-1.5)*0.75+2*7*0.75)/1000000</f>
        <v>1.2750000000000001E-4</v>
      </c>
      <c r="AF39" s="268"/>
      <c r="AG39" s="4" t="s">
        <v>261</v>
      </c>
      <c r="AH39" s="4"/>
      <c r="AI39" s="64">
        <f t="shared" si="0"/>
        <v>1.2750000000000001E-4</v>
      </c>
    </row>
    <row r="40" spans="2:35">
      <c r="B40" s="288"/>
      <c r="C40" s="27" t="s">
        <v>308</v>
      </c>
      <c r="D40" s="29">
        <v>21.67</v>
      </c>
      <c r="E40" s="2">
        <v>90</v>
      </c>
      <c r="Q40" s="288" t="s">
        <v>211</v>
      </c>
      <c r="R40" s="266" t="s">
        <v>212</v>
      </c>
      <c r="S40" s="266"/>
      <c r="T40" s="3">
        <v>2</v>
      </c>
      <c r="AA40" s="268"/>
      <c r="AB40" s="266" t="s">
        <v>263</v>
      </c>
      <c r="AC40" s="266"/>
      <c r="AD40" s="64">
        <f>(89*0.75+2*(35-1.5)*0.75+2*7*0.75)/1000000</f>
        <v>1.2750000000000001E-4</v>
      </c>
      <c r="AF40" s="268"/>
      <c r="AG40" s="266" t="s">
        <v>263</v>
      </c>
      <c r="AH40" s="266"/>
      <c r="AI40" s="64">
        <f t="shared" si="0"/>
        <v>1.2750000000000001E-4</v>
      </c>
    </row>
    <row r="41" spans="2:35">
      <c r="B41" s="288"/>
      <c r="C41" s="4" t="s">
        <v>309</v>
      </c>
      <c r="D41" s="4">
        <v>11.8</v>
      </c>
      <c r="E41" s="2">
        <v>140</v>
      </c>
      <c r="Q41" s="288"/>
      <c r="R41" s="266" t="s">
        <v>216</v>
      </c>
      <c r="S41" s="266"/>
      <c r="T41" s="3">
        <v>1.65</v>
      </c>
      <c r="AA41" s="15"/>
      <c r="AB41" s="266"/>
      <c r="AC41" s="266"/>
      <c r="AD41" s="12"/>
      <c r="AF41" s="15"/>
      <c r="AG41" s="266"/>
      <c r="AH41" s="266"/>
      <c r="AI41" s="12"/>
    </row>
    <row r="42" spans="2:35">
      <c r="B42" s="288"/>
      <c r="C42" s="4"/>
      <c r="D42" s="74">
        <f>AVERAGE(D40:D41)</f>
        <v>16.734999999999999</v>
      </c>
      <c r="E42" s="75">
        <f>AVERAGE(E40:E41)</f>
        <v>115</v>
      </c>
      <c r="Q42" s="288"/>
      <c r="R42" s="266" t="s">
        <v>220</v>
      </c>
      <c r="S42" s="266"/>
      <c r="T42" s="3">
        <f>T40*T41</f>
        <v>3.3</v>
      </c>
      <c r="AA42" s="268" t="s">
        <v>253</v>
      </c>
      <c r="AB42" s="267" t="s">
        <v>266</v>
      </c>
      <c r="AC42" s="267"/>
      <c r="AD42" s="16">
        <f>(AD27*AD38+2*AD28*AD37+AD31*AD39)*AD35</f>
        <v>41.229586297850901</v>
      </c>
      <c r="AF42" s="268" t="s">
        <v>253</v>
      </c>
      <c r="AG42" s="267" t="s">
        <v>266</v>
      </c>
      <c r="AH42" s="267"/>
      <c r="AI42" s="16">
        <f>(AI27*AI38+2*AI28*AI37+AI31*AI39)*AI35</f>
        <v>30.818023096274864</v>
      </c>
    </row>
    <row r="43" spans="2:35">
      <c r="B43" s="71"/>
      <c r="C43" s="72"/>
      <c r="D43" s="72"/>
      <c r="E43" s="73"/>
      <c r="Q43" s="6"/>
      <c r="R43" s="4"/>
      <c r="S43" s="4"/>
      <c r="T43" s="3"/>
      <c r="AA43" s="270"/>
      <c r="AB43" s="271" t="s">
        <v>269</v>
      </c>
      <c r="AC43" s="271"/>
      <c r="AD43" s="61">
        <f>AD42*(AD27/AD32)+(AD27*AD40*(AD28/AD33)*2*AD35)</f>
        <v>748.71413121748969</v>
      </c>
      <c r="AF43" s="270"/>
      <c r="AG43" s="271" t="s">
        <v>269</v>
      </c>
      <c r="AH43" s="271"/>
      <c r="AI43" s="61">
        <f>AI42*(AI27/AI32)+(AI27*AI40*(AI28/AI33)*2*AI35)</f>
        <v>418.31903652540404</v>
      </c>
    </row>
    <row r="44" spans="2:35">
      <c r="B44" s="288" t="s">
        <v>301</v>
      </c>
      <c r="C44" s="27"/>
      <c r="D44" s="29"/>
      <c r="E44" s="2"/>
      <c r="Q44" s="288" t="s">
        <v>227</v>
      </c>
      <c r="R44" s="9" t="s">
        <v>228</v>
      </c>
      <c r="S44" s="9"/>
      <c r="T44" s="10">
        <f>460</f>
        <v>460</v>
      </c>
    </row>
    <row r="45" spans="2:35">
      <c r="B45" s="288"/>
      <c r="C45" s="27" t="s">
        <v>308</v>
      </c>
      <c r="D45" s="29">
        <v>8</v>
      </c>
      <c r="E45" s="2">
        <v>210</v>
      </c>
      <c r="Q45" s="288"/>
      <c r="R45" s="4" t="s">
        <v>232</v>
      </c>
      <c r="S45" s="4"/>
      <c r="T45" s="2">
        <v>2400</v>
      </c>
    </row>
    <row r="46" spans="2:35">
      <c r="B46" s="288"/>
      <c r="C46" s="4" t="s">
        <v>309</v>
      </c>
      <c r="D46" s="4">
        <v>18.2</v>
      </c>
      <c r="E46" s="2">
        <v>140</v>
      </c>
      <c r="Q46" s="6"/>
      <c r="R46" s="267" t="s">
        <v>214</v>
      </c>
      <c r="S46" s="267"/>
      <c r="T46" s="2">
        <f>Construction!B91</f>
        <v>108.89565031069209</v>
      </c>
    </row>
    <row r="47" spans="2:35">
      <c r="B47" s="276"/>
      <c r="C47" s="35"/>
      <c r="D47" s="32">
        <f>AVERAGE(D45:D46)</f>
        <v>13.1</v>
      </c>
      <c r="E47" s="70">
        <f>AVERAGE(E45:E46)</f>
        <v>175</v>
      </c>
      <c r="Q47" s="6"/>
      <c r="R47" s="4"/>
      <c r="S47" s="4"/>
      <c r="T47" s="2"/>
    </row>
    <row r="48" spans="2:35">
      <c r="B48" s="71"/>
      <c r="C48" s="72"/>
      <c r="D48" s="72"/>
      <c r="E48" s="73"/>
      <c r="Q48" s="268" t="s">
        <v>242</v>
      </c>
      <c r="R48" s="4" t="s">
        <v>243</v>
      </c>
      <c r="S48" s="4"/>
      <c r="T48" s="3">
        <v>0.3</v>
      </c>
    </row>
    <row r="49" spans="2:20">
      <c r="B49" s="288" t="s">
        <v>310</v>
      </c>
      <c r="C49" s="27"/>
      <c r="D49" s="29"/>
      <c r="E49" s="2"/>
      <c r="Q49" s="268"/>
      <c r="R49" s="4" t="s">
        <v>246</v>
      </c>
      <c r="S49" s="4"/>
      <c r="T49" s="3">
        <v>0.1</v>
      </c>
    </row>
    <row r="50" spans="2:20">
      <c r="B50" s="288"/>
      <c r="C50" s="27" t="s">
        <v>308</v>
      </c>
      <c r="D50" s="29">
        <v>7.5</v>
      </c>
      <c r="E50" s="2">
        <v>100</v>
      </c>
      <c r="Q50" s="268"/>
      <c r="R50" s="9" t="s">
        <v>248</v>
      </c>
      <c r="S50" s="9"/>
      <c r="T50" s="3">
        <f>0.125*0.125</f>
        <v>1.5625E-2</v>
      </c>
    </row>
    <row r="51" spans="2:20">
      <c r="B51" s="288"/>
      <c r="C51" s="4" t="s">
        <v>309</v>
      </c>
      <c r="D51" s="4">
        <v>7.5</v>
      </c>
      <c r="E51" s="2">
        <v>100</v>
      </c>
      <c r="Q51" s="268"/>
      <c r="R51" s="9" t="s">
        <v>251</v>
      </c>
      <c r="S51" s="9"/>
      <c r="T51" s="3">
        <f>0.35*0.35*(T49+0.1)-(T50*T49)</f>
        <v>2.2937499999999996E-2</v>
      </c>
    </row>
    <row r="52" spans="2:20">
      <c r="B52" s="276"/>
      <c r="C52" s="35"/>
      <c r="D52" s="32">
        <f>AVERAGE(D50:D51)</f>
        <v>7.5</v>
      </c>
      <c r="E52" s="70">
        <f>AVERAGE(E50:E51)</f>
        <v>100</v>
      </c>
      <c r="Q52" s="6"/>
      <c r="R52" s="4"/>
      <c r="S52" s="4"/>
      <c r="T52" s="2"/>
    </row>
    <row r="53" spans="2:20">
      <c r="Q53" s="268" t="s">
        <v>255</v>
      </c>
      <c r="R53" s="4" t="s">
        <v>243</v>
      </c>
      <c r="S53" s="4"/>
      <c r="T53" s="3">
        <v>0.3</v>
      </c>
    </row>
    <row r="54" spans="2:20">
      <c r="Q54" s="268"/>
      <c r="R54" s="4" t="s">
        <v>246</v>
      </c>
      <c r="S54" s="4"/>
      <c r="T54" s="3">
        <v>0.8</v>
      </c>
    </row>
    <row r="55" spans="2:20">
      <c r="Q55" s="268"/>
      <c r="R55" s="9" t="s">
        <v>248</v>
      </c>
      <c r="S55" s="9"/>
      <c r="T55" s="3">
        <f>0.125*0.125</f>
        <v>1.5625E-2</v>
      </c>
    </row>
    <row r="56" spans="2:20">
      <c r="Q56" s="268"/>
      <c r="R56" s="9" t="s">
        <v>251</v>
      </c>
      <c r="S56" s="9"/>
      <c r="T56" s="3">
        <f>0.35*0.35*(T54+0.1)-(T55*T54)</f>
        <v>9.774999999999999E-2</v>
      </c>
    </row>
    <row r="57" spans="2:20">
      <c r="Q57" s="6"/>
      <c r="R57" s="4"/>
      <c r="S57" s="4"/>
      <c r="T57" s="2"/>
    </row>
    <row r="58" spans="2:20">
      <c r="Q58" s="268" t="s">
        <v>267</v>
      </c>
      <c r="R58" s="4" t="s">
        <v>268</v>
      </c>
      <c r="S58" s="4"/>
      <c r="T58" s="2">
        <v>9.6</v>
      </c>
    </row>
    <row r="59" spans="2:20">
      <c r="Q59" s="268"/>
      <c r="R59" s="4" t="s">
        <v>270</v>
      </c>
      <c r="S59" s="4"/>
      <c r="T59" s="2">
        <v>12.7</v>
      </c>
    </row>
    <row r="60" spans="2:20">
      <c r="Q60" s="268"/>
      <c r="R60" s="4" t="s">
        <v>271</v>
      </c>
      <c r="S60" s="4"/>
      <c r="T60" s="13">
        <f>0.8*T58+0.2*T59</f>
        <v>10.219999999999999</v>
      </c>
    </row>
    <row r="61" spans="2:20">
      <c r="Q61" s="268"/>
      <c r="R61" s="4" t="s">
        <v>273</v>
      </c>
      <c r="S61" s="4"/>
      <c r="T61" s="2">
        <v>120</v>
      </c>
    </row>
    <row r="62" spans="2:20">
      <c r="Q62" s="6"/>
      <c r="R62" s="4"/>
      <c r="S62" s="4"/>
      <c r="T62" s="2"/>
    </row>
    <row r="63" spans="2:20">
      <c r="Q63" s="268" t="s">
        <v>284</v>
      </c>
      <c r="R63" s="4" t="s">
        <v>285</v>
      </c>
      <c r="S63" s="4"/>
      <c r="T63" s="10">
        <f>T46/T42</f>
        <v>32.998681912330937</v>
      </c>
    </row>
    <row r="64" spans="2:20">
      <c r="Q64" s="268"/>
      <c r="R64" s="9" t="s">
        <v>289</v>
      </c>
      <c r="S64" s="9"/>
      <c r="T64" s="2">
        <f>ROUNDUP((T63-4*(T63^0.5-1)+6*(T63^0.5-2)+9),0)</f>
        <v>46</v>
      </c>
    </row>
    <row r="65" spans="17:20">
      <c r="Q65" s="268"/>
      <c r="R65" s="9" t="s">
        <v>255</v>
      </c>
      <c r="S65" s="9"/>
      <c r="T65" s="2">
        <f>ROUNDUP(((T60*195)/T61),0)</f>
        <v>17</v>
      </c>
    </row>
    <row r="66" spans="17:20">
      <c r="Q66" s="268"/>
      <c r="R66" s="9" t="s">
        <v>242</v>
      </c>
      <c r="S66" s="9"/>
      <c r="T66" s="2">
        <f>T64-T65</f>
        <v>29</v>
      </c>
    </row>
    <row r="67" spans="17:20">
      <c r="Q67" s="6"/>
      <c r="R67" s="4"/>
      <c r="S67" s="4"/>
      <c r="T67" s="2"/>
    </row>
    <row r="68" spans="17:20">
      <c r="Q68" s="268" t="s">
        <v>298</v>
      </c>
      <c r="R68" s="9" t="s">
        <v>299</v>
      </c>
      <c r="S68" s="9"/>
      <c r="T68" s="13">
        <f>T66*T50*(T49+T48)*T44</f>
        <v>83.375000000000014</v>
      </c>
    </row>
    <row r="69" spans="17:20">
      <c r="Q69" s="268"/>
      <c r="R69" s="9" t="s">
        <v>302</v>
      </c>
      <c r="S69" s="9"/>
      <c r="T69" s="13">
        <f>T65*T55*(T54+T53)*T44</f>
        <v>134.40625000000003</v>
      </c>
    </row>
    <row r="70" spans="17:20">
      <c r="Q70" s="268"/>
      <c r="R70" s="56" t="s">
        <v>262</v>
      </c>
      <c r="S70" s="56"/>
      <c r="T70" s="57">
        <f>T68+T69</f>
        <v>217.78125000000006</v>
      </c>
    </row>
    <row r="71" spans="17:20">
      <c r="Q71" s="268" t="s">
        <v>304</v>
      </c>
      <c r="R71" s="9" t="s">
        <v>299</v>
      </c>
      <c r="S71" s="9"/>
      <c r="T71" s="13">
        <f>T51*T45*T66</f>
        <v>1596.4499999999998</v>
      </c>
    </row>
    <row r="72" spans="17:20">
      <c r="Q72" s="268"/>
      <c r="R72" s="9" t="s">
        <v>302</v>
      </c>
      <c r="S72" s="9"/>
      <c r="T72" s="13">
        <f>T56*T45*T65</f>
        <v>3988.1999999999994</v>
      </c>
    </row>
    <row r="73" spans="17:20">
      <c r="Q73" s="270"/>
      <c r="R73" s="34" t="s">
        <v>262</v>
      </c>
      <c r="S73" s="34"/>
      <c r="T73" s="61">
        <f>T71+T72</f>
        <v>5584.65</v>
      </c>
    </row>
  </sheetData>
  <mergeCells count="182">
    <mergeCell ref="AG33:AH33"/>
    <mergeCell ref="B39:B42"/>
    <mergeCell ref="B44:B47"/>
    <mergeCell ref="B49:B52"/>
    <mergeCell ref="B37:E37"/>
    <mergeCell ref="AG35:AH35"/>
    <mergeCell ref="AF37:AF40"/>
    <mergeCell ref="AG40:AH40"/>
    <mergeCell ref="AG41:AH41"/>
    <mergeCell ref="AF42:AF43"/>
    <mergeCell ref="AG42:AH42"/>
    <mergeCell ref="AG43:AH43"/>
    <mergeCell ref="Q39:T39"/>
    <mergeCell ref="Q40:Q42"/>
    <mergeCell ref="R40:S40"/>
    <mergeCell ref="R41:S41"/>
    <mergeCell ref="R42:S42"/>
    <mergeCell ref="Q44:Q45"/>
    <mergeCell ref="R46:S46"/>
    <mergeCell ref="Q48:Q51"/>
    <mergeCell ref="B32:B35"/>
    <mergeCell ref="N32:P32"/>
    <mergeCell ref="W32:X32"/>
    <mergeCell ref="V34:V36"/>
    <mergeCell ref="C6:D6"/>
    <mergeCell ref="Q53:Q56"/>
    <mergeCell ref="Q58:Q61"/>
    <mergeCell ref="Q63:Q66"/>
    <mergeCell ref="Q68:Q70"/>
    <mergeCell ref="Q71:Q73"/>
    <mergeCell ref="AF2:AI2"/>
    <mergeCell ref="AF3:AF11"/>
    <mergeCell ref="AG3:AH3"/>
    <mergeCell ref="AG4:AH4"/>
    <mergeCell ref="AG10:AH10"/>
    <mergeCell ref="AG11:AH11"/>
    <mergeCell ref="AG13:AH13"/>
    <mergeCell ref="AF15:AF18"/>
    <mergeCell ref="AG18:AH18"/>
    <mergeCell ref="AG19:AH19"/>
    <mergeCell ref="AF20:AF21"/>
    <mergeCell ref="AG20:AH20"/>
    <mergeCell ref="AG21:AH21"/>
    <mergeCell ref="AF24:AI24"/>
    <mergeCell ref="AF25:AF33"/>
    <mergeCell ref="AG25:AH25"/>
    <mergeCell ref="AG26:AH26"/>
    <mergeCell ref="AG32:AH32"/>
    <mergeCell ref="R3:S3"/>
    <mergeCell ref="B2:E2"/>
    <mergeCell ref="G2:J2"/>
    <mergeCell ref="L2:O2"/>
    <mergeCell ref="Q2:T2"/>
    <mergeCell ref="V2:Y2"/>
    <mergeCell ref="AA2:AD2"/>
    <mergeCell ref="Q34:Q36"/>
    <mergeCell ref="B3:B5"/>
    <mergeCell ref="C3:D3"/>
    <mergeCell ref="G3:G5"/>
    <mergeCell ref="H3:I3"/>
    <mergeCell ref="L3:L5"/>
    <mergeCell ref="M3:N3"/>
    <mergeCell ref="C5:D5"/>
    <mergeCell ref="H5:I5"/>
    <mergeCell ref="M5:N5"/>
    <mergeCell ref="Q7:Q8"/>
    <mergeCell ref="C8:D8"/>
    <mergeCell ref="H8:I8"/>
    <mergeCell ref="M8:N8"/>
    <mergeCell ref="R9:S9"/>
    <mergeCell ref="W8:X8"/>
    <mergeCell ref="R5:S5"/>
    <mergeCell ref="H4:I4"/>
    <mergeCell ref="M4:N4"/>
    <mergeCell ref="R4:S4"/>
    <mergeCell ref="B11:B14"/>
    <mergeCell ref="C11:D11"/>
    <mergeCell ref="G11:G14"/>
    <mergeCell ref="H11:I11"/>
    <mergeCell ref="L11:L14"/>
    <mergeCell ref="M11:N11"/>
    <mergeCell ref="C9:D9"/>
    <mergeCell ref="H9:I9"/>
    <mergeCell ref="M9:N9"/>
    <mergeCell ref="C10:D10"/>
    <mergeCell ref="H10:I10"/>
    <mergeCell ref="M10:N10"/>
    <mergeCell ref="B7:B9"/>
    <mergeCell ref="H6:I6"/>
    <mergeCell ref="M6:N6"/>
    <mergeCell ref="C7:D7"/>
    <mergeCell ref="G7:G9"/>
    <mergeCell ref="H7:I7"/>
    <mergeCell ref="L7:L9"/>
    <mergeCell ref="M7:N7"/>
    <mergeCell ref="Q3:Q5"/>
    <mergeCell ref="W11:X11"/>
    <mergeCell ref="AB11:AC11"/>
    <mergeCell ref="C12:D12"/>
    <mergeCell ref="H12:I12"/>
    <mergeCell ref="M12:N12"/>
    <mergeCell ref="C13:D13"/>
    <mergeCell ref="H13:I13"/>
    <mergeCell ref="M13:N13"/>
    <mergeCell ref="V13:V14"/>
    <mergeCell ref="W13:X13"/>
    <mergeCell ref="Q11:Q14"/>
    <mergeCell ref="V10:V11"/>
    <mergeCell ref="W10:X10"/>
    <mergeCell ref="AB10:AC10"/>
    <mergeCell ref="AA3:AA11"/>
    <mergeCell ref="AB3:AC3"/>
    <mergeCell ref="AB4:AC4"/>
    <mergeCell ref="AB13:AC13"/>
    <mergeCell ref="C14:D14"/>
    <mergeCell ref="H14:I14"/>
    <mergeCell ref="M14:N14"/>
    <mergeCell ref="W14:X14"/>
    <mergeCell ref="V3:V6"/>
    <mergeCell ref="C4:D4"/>
    <mergeCell ref="Q16:Q19"/>
    <mergeCell ref="AA15:AA18"/>
    <mergeCell ref="V16:V18"/>
    <mergeCell ref="W16:X16"/>
    <mergeCell ref="M17:N18"/>
    <mergeCell ref="O17:O18"/>
    <mergeCell ref="W17:X17"/>
    <mergeCell ref="W18:X18"/>
    <mergeCell ref="AB18:AC18"/>
    <mergeCell ref="V19:Y20"/>
    <mergeCell ref="AB19:AC19"/>
    <mergeCell ref="H19:I20"/>
    <mergeCell ref="J19:J20"/>
    <mergeCell ref="M19:N20"/>
    <mergeCell ref="O19:O20"/>
    <mergeCell ref="G16:G20"/>
    <mergeCell ref="H16:I16"/>
    <mergeCell ref="L16:L20"/>
    <mergeCell ref="M16:N16"/>
    <mergeCell ref="C17:D18"/>
    <mergeCell ref="E17:E18"/>
    <mergeCell ref="H17:I18"/>
    <mergeCell ref="J17:J18"/>
    <mergeCell ref="Q21:Q24"/>
    <mergeCell ref="AA20:AA21"/>
    <mergeCell ref="AB20:AC20"/>
    <mergeCell ref="B21:E22"/>
    <mergeCell ref="G21:J22"/>
    <mergeCell ref="L21:O22"/>
    <mergeCell ref="AB21:AC21"/>
    <mergeCell ref="V23:Y23"/>
    <mergeCell ref="B16:B20"/>
    <mergeCell ref="C16:D16"/>
    <mergeCell ref="V24:V27"/>
    <mergeCell ref="AA24:AD24"/>
    <mergeCell ref="B25:F25"/>
    <mergeCell ref="H25:J25"/>
    <mergeCell ref="Q26:Q29"/>
    <mergeCell ref="AA25:AA33"/>
    <mergeCell ref="AB25:AC25"/>
    <mergeCell ref="AB26:AC26"/>
    <mergeCell ref="B27:B30"/>
    <mergeCell ref="W29:X29"/>
    <mergeCell ref="AB32:AC32"/>
    <mergeCell ref="AB33:AC33"/>
    <mergeCell ref="C19:D20"/>
    <mergeCell ref="E19:E20"/>
    <mergeCell ref="W35:X35"/>
    <mergeCell ref="AB35:AC35"/>
    <mergeCell ref="Q31:Q33"/>
    <mergeCell ref="H31:H33"/>
    <mergeCell ref="V31:V32"/>
    <mergeCell ref="W31:X31"/>
    <mergeCell ref="AA42:AA43"/>
    <mergeCell ref="AB42:AC42"/>
    <mergeCell ref="AB43:AC43"/>
    <mergeCell ref="W36:X36"/>
    <mergeCell ref="V37:Y38"/>
    <mergeCell ref="AA37:AA40"/>
    <mergeCell ref="AB40:AC40"/>
    <mergeCell ref="AB41:AC41"/>
    <mergeCell ref="W34:X3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CA3D2C-343E-4892-8454-3355A58852B8}">
  <sheetPr>
    <tabColor theme="5"/>
  </sheetPr>
  <dimension ref="A1:F34"/>
  <sheetViews>
    <sheetView zoomScale="82" workbookViewId="0">
      <selection activeCell="K39" sqref="K39"/>
    </sheetView>
  </sheetViews>
  <sheetFormatPr defaultColWidth="8.6328125" defaultRowHeight="14.5"/>
  <sheetData>
    <row r="1" spans="1:6">
      <c r="A1" s="1" t="s">
        <v>311</v>
      </c>
    </row>
    <row r="3" spans="1:6">
      <c r="A3" s="1" t="s">
        <v>312</v>
      </c>
    </row>
    <row r="4" spans="1:6">
      <c r="A4">
        <f>A14</f>
        <v>5488</v>
      </c>
    </row>
    <row r="5" spans="1:6">
      <c r="A5" t="s">
        <v>313</v>
      </c>
      <c r="E5" t="s">
        <v>314</v>
      </c>
      <c r="F5">
        <f>1664313-1561959</f>
        <v>102354</v>
      </c>
    </row>
    <row r="6" spans="1:6">
      <c r="A6">
        <v>108558</v>
      </c>
    </row>
    <row r="7" spans="1:6">
      <c r="A7" t="s">
        <v>315</v>
      </c>
      <c r="E7" t="s">
        <v>316</v>
      </c>
    </row>
    <row r="8" spans="1:6">
      <c r="A8">
        <v>145998</v>
      </c>
    </row>
    <row r="9" spans="1:6">
      <c r="A9" t="s">
        <v>317</v>
      </c>
      <c r="E9" t="s">
        <v>318</v>
      </c>
    </row>
    <row r="10" spans="1:6">
      <c r="A10">
        <v>37440</v>
      </c>
    </row>
    <row r="11" spans="1:6">
      <c r="A11" t="s">
        <v>319</v>
      </c>
      <c r="E11" t="s">
        <v>320</v>
      </c>
    </row>
    <row r="12" spans="1:6">
      <c r="A12">
        <v>27440</v>
      </c>
    </row>
    <row r="13" spans="1:6">
      <c r="A13" t="s">
        <v>321</v>
      </c>
    </row>
    <row r="14" spans="1:6">
      <c r="A14">
        <v>5488</v>
      </c>
    </row>
    <row r="16" spans="1:6">
      <c r="A16" t="s">
        <v>322</v>
      </c>
    </row>
    <row r="17" spans="1:5">
      <c r="A17">
        <v>126224</v>
      </c>
      <c r="B17" t="s">
        <v>78</v>
      </c>
    </row>
    <row r="21" spans="1:5">
      <c r="A21" s="1" t="s">
        <v>323</v>
      </c>
    </row>
    <row r="22" spans="1:5">
      <c r="A22" t="s">
        <v>324</v>
      </c>
    </row>
    <row r="23" spans="1:5">
      <c r="A23" t="s">
        <v>325</v>
      </c>
    </row>
    <row r="24" spans="1:5">
      <c r="A24" t="s">
        <v>326</v>
      </c>
    </row>
    <row r="25" spans="1:5">
      <c r="A25" t="s">
        <v>327</v>
      </c>
    </row>
    <row r="26" spans="1:5">
      <c r="A26" t="s">
        <v>328</v>
      </c>
    </row>
    <row r="27" spans="1:5">
      <c r="A27" t="s">
        <v>329</v>
      </c>
    </row>
    <row r="29" spans="1:5">
      <c r="A29" s="1" t="s">
        <v>330</v>
      </c>
    </row>
    <row r="30" spans="1:5">
      <c r="A30" t="s">
        <v>331</v>
      </c>
      <c r="E30" t="s">
        <v>332</v>
      </c>
    </row>
    <row r="31" spans="1:5">
      <c r="A31" t="s">
        <v>333</v>
      </c>
      <c r="E31" t="s">
        <v>334</v>
      </c>
    </row>
    <row r="32" spans="1:5">
      <c r="A32" t="s">
        <v>335</v>
      </c>
      <c r="E32" t="s">
        <v>336</v>
      </c>
    </row>
    <row r="33" spans="1:5">
      <c r="A33" t="s">
        <v>337</v>
      </c>
      <c r="E33" t="s">
        <v>338</v>
      </c>
    </row>
    <row r="34" spans="1:5">
      <c r="A34" t="s">
        <v>339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1AEA3C-4F54-4C83-A8A1-DFC2CA8CEF4F}">
  <sheetPr>
    <tabColor rgb="FFFF0000"/>
  </sheetPr>
  <dimension ref="B2:R150"/>
  <sheetViews>
    <sheetView topLeftCell="A65" zoomScale="78" zoomScaleNormal="78" workbookViewId="0">
      <selection activeCell="K91" sqref="K91"/>
    </sheetView>
  </sheetViews>
  <sheetFormatPr defaultColWidth="8.6328125" defaultRowHeight="14.5"/>
  <cols>
    <col min="1" max="2" width="16.6328125" customWidth="1"/>
    <col min="3" max="4" width="19.36328125" customWidth="1"/>
    <col min="5" max="11" width="16.6328125" customWidth="1"/>
    <col min="12" max="12" width="14.81640625" customWidth="1"/>
  </cols>
  <sheetData>
    <row r="2" spans="2:12">
      <c r="B2" s="190" t="s">
        <v>24</v>
      </c>
      <c r="C2" s="190"/>
      <c r="D2" s="190"/>
      <c r="E2" s="190"/>
      <c r="F2" s="190"/>
      <c r="G2" s="190"/>
      <c r="H2" s="190"/>
      <c r="I2" s="170"/>
      <c r="J2" s="170"/>
      <c r="K2" s="170"/>
      <c r="L2" s="170"/>
    </row>
    <row r="3" spans="2:12">
      <c r="B3" s="191" t="s">
        <v>340</v>
      </c>
      <c r="C3" s="191"/>
      <c r="D3" s="191"/>
      <c r="E3" s="191"/>
      <c r="F3" s="191"/>
      <c r="G3" s="191"/>
      <c r="H3" s="191"/>
      <c r="I3" s="170"/>
      <c r="J3" s="170"/>
      <c r="K3" s="170"/>
      <c r="L3" s="170"/>
    </row>
    <row r="4" spans="2:12">
      <c r="B4" s="316" t="s">
        <v>341</v>
      </c>
      <c r="C4" s="316"/>
      <c r="D4" s="316"/>
      <c r="E4" s="316"/>
      <c r="F4" s="316"/>
      <c r="G4" s="316"/>
      <c r="H4" s="316"/>
      <c r="I4" s="170"/>
      <c r="J4" s="170"/>
      <c r="K4" s="170"/>
      <c r="L4" s="170"/>
    </row>
    <row r="5" spans="2:12">
      <c r="B5" s="191" t="s">
        <v>342</v>
      </c>
      <c r="C5" s="191"/>
      <c r="D5" s="191"/>
      <c r="E5" s="191"/>
      <c r="F5" s="191"/>
      <c r="G5" s="191"/>
      <c r="H5" s="191"/>
      <c r="I5" s="170"/>
      <c r="J5" s="170"/>
      <c r="K5" s="170"/>
      <c r="L5" s="170"/>
    </row>
    <row r="6" spans="2:12">
      <c r="B6" s="191" t="s">
        <v>343</v>
      </c>
      <c r="C6" s="191"/>
      <c r="D6" s="191"/>
      <c r="E6" s="191"/>
      <c r="F6" s="191"/>
      <c r="G6" s="191"/>
      <c r="H6" s="191"/>
      <c r="I6" s="170"/>
      <c r="J6" s="170"/>
      <c r="K6" s="170"/>
      <c r="L6" s="170"/>
    </row>
    <row r="7" spans="2:12">
      <c r="B7" s="191" t="s">
        <v>344</v>
      </c>
      <c r="C7" s="191"/>
      <c r="D7" s="191"/>
      <c r="E7" s="191"/>
      <c r="F7" s="191"/>
      <c r="G7" s="191"/>
      <c r="H7" s="191"/>
      <c r="I7" s="170"/>
      <c r="J7" s="170"/>
      <c r="K7" s="170"/>
      <c r="L7" s="170"/>
    </row>
    <row r="8" spans="2:12">
      <c r="B8" s="191" t="s">
        <v>345</v>
      </c>
      <c r="C8" s="191"/>
      <c r="D8" s="191"/>
      <c r="E8" s="191"/>
      <c r="F8" s="191"/>
      <c r="G8" s="191"/>
      <c r="H8" s="191"/>
    </row>
    <row r="9" spans="2:12">
      <c r="B9" s="175"/>
      <c r="C9" s="175"/>
      <c r="D9" s="175"/>
      <c r="E9" s="175"/>
      <c r="F9" s="175"/>
      <c r="G9" s="175"/>
      <c r="H9" s="175"/>
    </row>
    <row r="13" spans="2:12" ht="15" thickBot="1">
      <c r="B13" t="s">
        <v>340</v>
      </c>
    </row>
    <row r="14" spans="2:12" ht="15" thickBot="1">
      <c r="B14" s="305" t="s">
        <v>346</v>
      </c>
      <c r="C14" s="306"/>
      <c r="D14" s="306"/>
      <c r="E14" s="306"/>
      <c r="F14" s="306"/>
      <c r="G14" s="306"/>
      <c r="H14" s="307"/>
    </row>
    <row r="15" spans="2:12" ht="15" thickBot="1">
      <c r="B15" s="126" t="s">
        <v>347</v>
      </c>
      <c r="C15" s="120">
        <v>1</v>
      </c>
      <c r="D15" s="120">
        <v>2</v>
      </c>
      <c r="E15" s="120" t="s">
        <v>348</v>
      </c>
      <c r="F15" s="120" t="s">
        <v>349</v>
      </c>
      <c r="G15" s="120" t="s">
        <v>350</v>
      </c>
      <c r="H15" s="119" t="s">
        <v>351</v>
      </c>
    </row>
    <row r="16" spans="2:12" ht="15" thickBot="1">
      <c r="B16" s="87" t="s">
        <v>352</v>
      </c>
      <c r="C16" s="81">
        <v>661474</v>
      </c>
      <c r="D16" s="81">
        <v>1765904</v>
      </c>
      <c r="E16" s="81">
        <v>55185</v>
      </c>
      <c r="F16" s="81">
        <v>1120374</v>
      </c>
      <c r="G16" s="81">
        <v>1409808</v>
      </c>
      <c r="H16" s="82">
        <v>3602937</v>
      </c>
    </row>
    <row r="17" spans="2:8" ht="15" thickBot="1"/>
    <row r="18" spans="2:8">
      <c r="B18" s="308" t="s">
        <v>353</v>
      </c>
      <c r="C18" s="307"/>
      <c r="D18">
        <v>2021</v>
      </c>
    </row>
    <row r="19" spans="2:8" ht="15" thickBot="1">
      <c r="B19" s="309">
        <v>398874.66292955889</v>
      </c>
      <c r="C19" s="310"/>
    </row>
    <row r="20" spans="2:8" ht="15" thickBot="1">
      <c r="B20" s="37"/>
      <c r="C20" s="37"/>
      <c r="E20" t="s">
        <v>354</v>
      </c>
    </row>
    <row r="21" spans="2:8">
      <c r="B21" s="308" t="s">
        <v>355</v>
      </c>
      <c r="C21" s="307"/>
      <c r="E21" t="s">
        <v>356</v>
      </c>
    </row>
    <row r="22" spans="2:8" ht="15" thickBot="1">
      <c r="B22" s="309">
        <v>1013761.8218659089</v>
      </c>
      <c r="C22" s="310"/>
      <c r="E22" t="s">
        <v>357</v>
      </c>
      <c r="F22">
        <v>0.39345993736023566</v>
      </c>
      <c r="G22">
        <v>39.345993736023566</v>
      </c>
      <c r="H22" t="s">
        <v>358</v>
      </c>
    </row>
    <row r="23" spans="2:8">
      <c r="B23" s="52"/>
      <c r="C23" s="52"/>
    </row>
    <row r="24" spans="2:8">
      <c r="B24" s="115" t="s">
        <v>341</v>
      </c>
      <c r="C24" s="52"/>
    </row>
    <row r="25" spans="2:8" ht="15" thickBot="1">
      <c r="B25" s="115" t="s">
        <v>359</v>
      </c>
      <c r="C25" s="52"/>
    </row>
    <row r="26" spans="2:8">
      <c r="B26" s="116" t="s">
        <v>360</v>
      </c>
      <c r="C26" s="123" t="s">
        <v>361</v>
      </c>
      <c r="D26" s="123" t="s">
        <v>362</v>
      </c>
      <c r="E26" s="129" t="s">
        <v>363</v>
      </c>
      <c r="F26" s="128" t="s">
        <v>364</v>
      </c>
    </row>
    <row r="27" spans="2:8">
      <c r="B27" s="86" t="s">
        <v>34</v>
      </c>
      <c r="C27" s="38">
        <v>1203.7752589154527</v>
      </c>
      <c r="D27" s="38">
        <f>C27*B$22/B$19</f>
        <v>3059.4608106525616</v>
      </c>
      <c r="E27" s="97">
        <f>C27*C$16/B$19</f>
        <v>1996.281312449421</v>
      </c>
      <c r="F27" s="127">
        <f>E27/E$35*100</f>
        <v>0.30179286146536682</v>
      </c>
    </row>
    <row r="28" spans="2:8">
      <c r="B28" s="86" t="s">
        <v>365</v>
      </c>
      <c r="C28" s="38">
        <v>226102.11208494008</v>
      </c>
      <c r="D28" s="38">
        <f t="shared" ref="D28:D33" si="0">C28*B$22/B$19</f>
        <v>574650.91262374283</v>
      </c>
      <c r="E28" s="97">
        <f t="shared" ref="E28:E34" si="1">C28*C$16/B$19</f>
        <v>374956.55249399989</v>
      </c>
      <c r="F28" s="127">
        <f t="shared" ref="F28:F34" si="2">E28/E$35*100</f>
        <v>56.685002357462245</v>
      </c>
    </row>
    <row r="29" spans="2:8">
      <c r="B29" s="86" t="s">
        <v>39</v>
      </c>
      <c r="C29" s="38">
        <v>1022.1100157005194</v>
      </c>
      <c r="D29" s="38">
        <f t="shared" si="0"/>
        <v>2597.7486362600562</v>
      </c>
      <c r="E29" s="97">
        <f t="shared" si="1"/>
        <v>1695.0166640313382</v>
      </c>
      <c r="F29" s="127">
        <f t="shared" si="2"/>
        <v>0.2562484185366829</v>
      </c>
    </row>
    <row r="30" spans="2:8">
      <c r="B30" s="86" t="s">
        <v>366</v>
      </c>
      <c r="C30" s="38">
        <v>30107.234582905035</v>
      </c>
      <c r="D30" s="38">
        <f t="shared" si="0"/>
        <v>76519.187150025129</v>
      </c>
      <c r="E30" s="97">
        <f t="shared" si="1"/>
        <v>49928.347772767745</v>
      </c>
      <c r="F30" s="127">
        <f t="shared" si="2"/>
        <v>7.5480438796940978</v>
      </c>
    </row>
    <row r="31" spans="2:8">
      <c r="B31" s="86" t="s">
        <v>367</v>
      </c>
      <c r="C31" s="38">
        <v>3898.5910928138746</v>
      </c>
      <c r="D31" s="38">
        <f t="shared" si="0"/>
        <v>9908.4829804272704</v>
      </c>
      <c r="E31" s="97">
        <f t="shared" si="1"/>
        <v>6465.2305202533835</v>
      </c>
      <c r="F31" s="127">
        <f t="shared" si="2"/>
        <v>0.9773975273787604</v>
      </c>
    </row>
    <row r="32" spans="2:8">
      <c r="B32" s="86" t="s">
        <v>368</v>
      </c>
      <c r="C32" s="38">
        <v>10578.078204712087</v>
      </c>
      <c r="D32" s="38">
        <f t="shared" si="0"/>
        <v>26884.765640134883</v>
      </c>
      <c r="E32" s="97">
        <f t="shared" si="1"/>
        <v>17542.16136716463</v>
      </c>
      <c r="F32" s="127">
        <f t="shared" si="2"/>
        <v>2.6519804810415262</v>
      </c>
    </row>
    <row r="33" spans="2:7">
      <c r="B33" s="86" t="s">
        <v>33</v>
      </c>
      <c r="C33" s="38">
        <v>1829.8518491293646</v>
      </c>
      <c r="D33" s="38">
        <f t="shared" si="0"/>
        <v>4650.6687857626221</v>
      </c>
      <c r="E33" s="97">
        <f t="shared" si="1"/>
        <v>3034.5357440383555</v>
      </c>
      <c r="F33" s="127">
        <f t="shared" si="2"/>
        <v>0.45875359334431209</v>
      </c>
    </row>
    <row r="34" spans="2:7" ht="15" thickBot="1">
      <c r="B34" s="86" t="s">
        <v>30</v>
      </c>
      <c r="C34" s="38">
        <v>124132.90984044253</v>
      </c>
      <c r="D34" s="38">
        <f>C34*B$22/B$19</f>
        <v>315490.59523890377</v>
      </c>
      <c r="E34" s="97">
        <f t="shared" si="1"/>
        <v>205855.87412529535</v>
      </c>
      <c r="F34" s="127">
        <f t="shared" si="2"/>
        <v>31.120780881077003</v>
      </c>
    </row>
    <row r="35" spans="2:7" ht="15" thickBot="1">
      <c r="B35" s="117" t="s">
        <v>200</v>
      </c>
      <c r="C35" s="118">
        <f>SUM(C27:C34)</f>
        <v>398874.66292955889</v>
      </c>
      <c r="D35" s="121">
        <f>SUM(D27:D34)</f>
        <v>1013761.8218659092</v>
      </c>
      <c r="E35" s="122">
        <f>SUM(E27:E34)</f>
        <v>661474.00000000012</v>
      </c>
      <c r="F35" s="87"/>
    </row>
    <row r="36" spans="2:7">
      <c r="B36" s="106"/>
      <c r="C36" s="52"/>
    </row>
    <row r="38" spans="2:7">
      <c r="B38" s="1" t="s">
        <v>342</v>
      </c>
    </row>
    <row r="39" spans="2:7" ht="15" thickBot="1">
      <c r="B39" t="s">
        <v>369</v>
      </c>
    </row>
    <row r="40" spans="2:7">
      <c r="B40" s="294" t="s">
        <v>370</v>
      </c>
      <c r="C40" s="297" t="s">
        <v>371</v>
      </c>
      <c r="D40" s="300" t="s">
        <v>372</v>
      </c>
      <c r="E40" s="301"/>
      <c r="F40" s="301"/>
      <c r="G40" s="302"/>
    </row>
    <row r="41" spans="2:7">
      <c r="B41" s="295"/>
      <c r="C41" s="298"/>
      <c r="D41" s="303"/>
      <c r="E41" s="243"/>
      <c r="F41" s="243"/>
      <c r="G41" s="304"/>
    </row>
    <row r="42" spans="2:7" ht="15" thickBot="1">
      <c r="B42" s="296"/>
      <c r="C42" s="299"/>
      <c r="D42" s="83" t="s">
        <v>373</v>
      </c>
      <c r="E42" s="84" t="s">
        <v>374</v>
      </c>
      <c r="F42" s="84" t="s">
        <v>375</v>
      </c>
      <c r="G42" s="85" t="s">
        <v>376</v>
      </c>
    </row>
    <row r="43" spans="2:7">
      <c r="B43" s="86" t="s">
        <v>34</v>
      </c>
      <c r="C43" s="86">
        <v>1</v>
      </c>
      <c r="D43">
        <v>0</v>
      </c>
      <c r="E43">
        <v>95</v>
      </c>
      <c r="F43">
        <v>0</v>
      </c>
      <c r="G43" s="79">
        <v>5</v>
      </c>
    </row>
    <row r="44" spans="2:7">
      <c r="B44" s="86" t="s">
        <v>377</v>
      </c>
      <c r="C44" s="86">
        <v>5</v>
      </c>
      <c r="D44">
        <v>90</v>
      </c>
      <c r="E44">
        <v>0</v>
      </c>
      <c r="F44">
        <v>0</v>
      </c>
      <c r="G44" s="79">
        <v>10</v>
      </c>
    </row>
    <row r="45" spans="2:7">
      <c r="B45" s="86" t="s">
        <v>152</v>
      </c>
      <c r="C45" s="86">
        <v>4</v>
      </c>
      <c r="D45">
        <v>0</v>
      </c>
      <c r="E45">
        <v>10</v>
      </c>
      <c r="F45">
        <v>0</v>
      </c>
      <c r="G45" s="79">
        <v>90</v>
      </c>
    </row>
    <row r="46" spans="2:7">
      <c r="B46" s="86" t="s">
        <v>36</v>
      </c>
      <c r="C46" s="86">
        <v>18</v>
      </c>
      <c r="D46">
        <v>25</v>
      </c>
      <c r="E46">
        <v>0</v>
      </c>
      <c r="F46">
        <v>0</v>
      </c>
      <c r="G46" s="79">
        <v>75</v>
      </c>
    </row>
    <row r="47" spans="2:7">
      <c r="B47" s="86" t="s">
        <v>39</v>
      </c>
      <c r="C47" s="86">
        <v>1</v>
      </c>
      <c r="D47">
        <v>0</v>
      </c>
      <c r="E47">
        <v>0</v>
      </c>
      <c r="F47">
        <v>0</v>
      </c>
      <c r="G47" s="79">
        <v>100</v>
      </c>
    </row>
    <row r="48" spans="2:7">
      <c r="B48" s="86" t="s">
        <v>37</v>
      </c>
      <c r="C48" s="86">
        <v>15</v>
      </c>
      <c r="D48">
        <v>0</v>
      </c>
      <c r="E48">
        <v>0</v>
      </c>
      <c r="F48">
        <v>0</v>
      </c>
      <c r="G48" s="79">
        <v>100</v>
      </c>
    </row>
    <row r="49" spans="2:11">
      <c r="B49" s="86" t="s">
        <v>35</v>
      </c>
      <c r="C49" s="86">
        <v>23</v>
      </c>
      <c r="D49">
        <v>0</v>
      </c>
      <c r="E49">
        <v>10</v>
      </c>
      <c r="F49">
        <v>0</v>
      </c>
      <c r="G49" s="79">
        <v>90</v>
      </c>
    </row>
    <row r="50" spans="2:11">
      <c r="B50" s="86" t="s">
        <v>368</v>
      </c>
      <c r="C50" s="86">
        <v>5</v>
      </c>
      <c r="D50">
        <v>0</v>
      </c>
      <c r="E50">
        <v>0</v>
      </c>
      <c r="F50">
        <v>0</v>
      </c>
      <c r="G50" s="79">
        <v>100</v>
      </c>
    </row>
    <row r="51" spans="2:11">
      <c r="B51" s="86" t="s">
        <v>33</v>
      </c>
      <c r="C51" s="86">
        <v>2</v>
      </c>
      <c r="D51">
        <v>1.25</v>
      </c>
      <c r="E51">
        <v>95</v>
      </c>
      <c r="F51">
        <v>0</v>
      </c>
      <c r="G51" s="79">
        <v>3.75</v>
      </c>
      <c r="I51" s="38"/>
    </row>
    <row r="52" spans="2:11" ht="15" thickBot="1">
      <c r="B52" s="87" t="s">
        <v>30</v>
      </c>
      <c r="C52" s="87">
        <v>8.75</v>
      </c>
      <c r="D52" s="88">
        <v>0</v>
      </c>
      <c r="E52" s="88">
        <v>37.5</v>
      </c>
      <c r="F52" s="88">
        <v>0</v>
      </c>
      <c r="G52" s="89">
        <v>62.5</v>
      </c>
    </row>
    <row r="54" spans="2:11">
      <c r="B54" t="s">
        <v>378</v>
      </c>
      <c r="G54" t="s">
        <v>379</v>
      </c>
      <c r="J54" t="s">
        <v>380</v>
      </c>
    </row>
    <row r="55" spans="2:11" ht="15" thickBot="1">
      <c r="B55" t="s">
        <v>381</v>
      </c>
      <c r="G55" t="s">
        <v>382</v>
      </c>
      <c r="J55" t="s">
        <v>383</v>
      </c>
    </row>
    <row r="56" spans="2:11" ht="15" thickBot="1">
      <c r="B56" s="90" t="s">
        <v>384</v>
      </c>
      <c r="C56" s="91" t="s">
        <v>385</v>
      </c>
      <c r="D56" s="92" t="s">
        <v>386</v>
      </c>
      <c r="E56" s="92" t="s">
        <v>387</v>
      </c>
      <c r="G56" s="90" t="s">
        <v>384</v>
      </c>
      <c r="H56" s="92" t="s">
        <v>387</v>
      </c>
      <c r="J56" s="90" t="s">
        <v>384</v>
      </c>
      <c r="K56" s="92" t="s">
        <v>387</v>
      </c>
    </row>
    <row r="57" spans="2:11">
      <c r="B57" s="86" t="s">
        <v>34</v>
      </c>
      <c r="C57" s="38">
        <f>Construction!K131</f>
        <v>13993.8681</v>
      </c>
      <c r="D57" s="93">
        <f>C57/(1-C43/100)</f>
        <v>14135.220303030303</v>
      </c>
      <c r="E57" s="93">
        <f>D57-C57</f>
        <v>141.35220303030292</v>
      </c>
      <c r="G57" s="86" t="s">
        <v>34</v>
      </c>
      <c r="H57" s="93">
        <f>E57*G$69/D$69</f>
        <v>188.29264377393073</v>
      </c>
      <c r="J57" s="86" t="s">
        <v>34</v>
      </c>
      <c r="K57" s="93">
        <f>H57-E57</f>
        <v>46.940440743627818</v>
      </c>
    </row>
    <row r="58" spans="2:11">
      <c r="B58" s="86" t="s">
        <v>377</v>
      </c>
      <c r="C58" s="38">
        <f>Construction!K126+Construction!K125</f>
        <v>238925.88169169048</v>
      </c>
      <c r="D58" s="93">
        <f t="shared" ref="D58:D66" si="3">C58/(1-C44/100)</f>
        <v>251500.92809651629</v>
      </c>
      <c r="E58" s="93">
        <f t="shared" ref="E58:E66" si="4">D58-C58</f>
        <v>12575.046404825815</v>
      </c>
      <c r="G58" s="86" t="s">
        <v>377</v>
      </c>
      <c r="H58" s="93">
        <f>E58*G$69/D$69</f>
        <v>16750.985710756213</v>
      </c>
      <c r="J58" s="86" t="s">
        <v>377</v>
      </c>
      <c r="K58" s="93">
        <f t="shared" ref="K58:K66" si="5">H58-E58</f>
        <v>4175.9393059303984</v>
      </c>
    </row>
    <row r="59" spans="2:11">
      <c r="B59" s="86" t="s">
        <v>152</v>
      </c>
      <c r="C59" s="38">
        <f>Construction!K127</f>
        <v>1284035.2212225001</v>
      </c>
      <c r="D59" s="93">
        <f>C59/(1-C45/100)</f>
        <v>1337536.6887734376</v>
      </c>
      <c r="E59" s="93">
        <f>D59-C59</f>
        <v>53501.467550937552</v>
      </c>
      <c r="G59" s="86" t="s">
        <v>152</v>
      </c>
      <c r="H59" s="93">
        <f t="shared" ref="H59:H66" si="6">E59*G$69/D$69</f>
        <v>71268.311034328639</v>
      </c>
      <c r="J59" s="86" t="s">
        <v>152</v>
      </c>
      <c r="K59" s="93">
        <f t="shared" si="5"/>
        <v>17766.843483391087</v>
      </c>
    </row>
    <row r="60" spans="2:11">
      <c r="B60" s="86" t="s">
        <v>36</v>
      </c>
      <c r="C60" s="38">
        <f>Construction!K139</f>
        <v>29307.222537299996</v>
      </c>
      <c r="D60" s="93">
        <f>C60/(1-C46/100)</f>
        <v>35740.515289390234</v>
      </c>
      <c r="E60" s="93">
        <f>D60-C60</f>
        <v>6433.2927520902376</v>
      </c>
      <c r="G60" s="86" t="s">
        <v>36</v>
      </c>
      <c r="H60" s="93">
        <f t="shared" si="6"/>
        <v>8569.6697645600307</v>
      </c>
      <c r="J60" s="86" t="s">
        <v>36</v>
      </c>
      <c r="K60" s="93">
        <f t="shared" si="5"/>
        <v>2136.377012469793</v>
      </c>
    </row>
    <row r="61" spans="2:11">
      <c r="B61" s="86" t="s">
        <v>39</v>
      </c>
      <c r="C61" s="38">
        <f>Construction!K136</f>
        <v>33856.1325</v>
      </c>
      <c r="D61" s="93">
        <f t="shared" si="3"/>
        <v>34198.11363636364</v>
      </c>
      <c r="E61" s="93">
        <f t="shared" si="4"/>
        <v>341.98113636363996</v>
      </c>
      <c r="G61" s="86" t="s">
        <v>39</v>
      </c>
      <c r="H61" s="93">
        <f t="shared" si="6"/>
        <v>455.5467188079021</v>
      </c>
      <c r="J61" s="86" t="s">
        <v>39</v>
      </c>
      <c r="K61" s="93">
        <f t="shared" si="5"/>
        <v>113.56558244426213</v>
      </c>
    </row>
    <row r="62" spans="2:11">
      <c r="B62" s="86" t="s">
        <v>37</v>
      </c>
      <c r="C62" s="38">
        <f>Construction!K138</f>
        <v>13633.119722834999</v>
      </c>
      <c r="D62" s="93">
        <f t="shared" si="3"/>
        <v>16038.964379805882</v>
      </c>
      <c r="E62" s="93">
        <f t="shared" si="4"/>
        <v>2405.8446569708831</v>
      </c>
      <c r="G62" s="86" t="s">
        <v>37</v>
      </c>
      <c r="H62" s="93">
        <f t="shared" si="6"/>
        <v>3204.7809744664455</v>
      </c>
      <c r="J62" s="86" t="s">
        <v>37</v>
      </c>
      <c r="K62" s="93">
        <f t="shared" si="5"/>
        <v>798.93631749556243</v>
      </c>
    </row>
    <row r="63" spans="2:11">
      <c r="B63" s="86" t="s">
        <v>35</v>
      </c>
      <c r="C63" s="38">
        <f>Construction!K137</f>
        <v>163312.45661249998</v>
      </c>
      <c r="D63" s="93">
        <f t="shared" si="3"/>
        <v>212094.09949675322</v>
      </c>
      <c r="E63" s="93">
        <f t="shared" si="4"/>
        <v>48781.642884253233</v>
      </c>
      <c r="G63" s="86" t="s">
        <v>35</v>
      </c>
      <c r="H63" s="93">
        <f t="shared" si="6"/>
        <v>64981.120275448979</v>
      </c>
      <c r="J63" s="86" t="s">
        <v>35</v>
      </c>
      <c r="K63" s="93">
        <f t="shared" si="5"/>
        <v>16199.477391195745</v>
      </c>
    </row>
    <row r="64" spans="2:11">
      <c r="B64" s="86" t="s">
        <v>368</v>
      </c>
      <c r="C64" s="38">
        <f>Construction!K132</f>
        <v>27387.009404817567</v>
      </c>
      <c r="D64" s="93">
        <f t="shared" si="3"/>
        <v>28828.430952439547</v>
      </c>
      <c r="E64" s="93">
        <f t="shared" si="4"/>
        <v>1441.4215476219797</v>
      </c>
      <c r="G64" s="86" t="s">
        <v>368</v>
      </c>
      <c r="H64" s="93">
        <f t="shared" si="6"/>
        <v>1920.0908664739313</v>
      </c>
      <c r="J64" s="86" t="s">
        <v>368</v>
      </c>
      <c r="K64" s="93">
        <f t="shared" si="5"/>
        <v>478.66931885195163</v>
      </c>
    </row>
    <row r="65" spans="2:11">
      <c r="B65" s="86" t="s">
        <v>33</v>
      </c>
      <c r="C65" s="38">
        <f>Construction!K130</f>
        <v>60808.1567264759</v>
      </c>
      <c r="D65" s="93">
        <f t="shared" si="3"/>
        <v>62049.139516812145</v>
      </c>
      <c r="E65" s="93">
        <f t="shared" si="4"/>
        <v>1240.9827903362457</v>
      </c>
      <c r="G65" s="86" t="s">
        <v>33</v>
      </c>
      <c r="H65" s="93">
        <f t="shared" si="6"/>
        <v>1653.0901214200944</v>
      </c>
      <c r="J65" s="86" t="s">
        <v>33</v>
      </c>
      <c r="K65" s="93">
        <f t="shared" si="5"/>
        <v>412.10733108384875</v>
      </c>
    </row>
    <row r="66" spans="2:11" ht="15" thickBot="1">
      <c r="B66" s="87" t="s">
        <v>30</v>
      </c>
      <c r="C66" s="81">
        <f>Construction!K128</f>
        <v>208277.71960673836</v>
      </c>
      <c r="D66" s="94">
        <f t="shared" si="3"/>
        <v>228249.55573341192</v>
      </c>
      <c r="E66" s="94">
        <f t="shared" si="4"/>
        <v>19971.836126673559</v>
      </c>
      <c r="G66" s="87" t="s">
        <v>30</v>
      </c>
      <c r="H66" s="94">
        <f t="shared" si="6"/>
        <v>26604.111889963846</v>
      </c>
      <c r="J66" s="87" t="s">
        <v>30</v>
      </c>
      <c r="K66" s="94">
        <f t="shared" si="5"/>
        <v>6632.2757632902867</v>
      </c>
    </row>
    <row r="68" spans="2:11">
      <c r="B68" t="s">
        <v>388</v>
      </c>
      <c r="D68" s="199" t="s">
        <v>389</v>
      </c>
      <c r="E68" s="199"/>
      <c r="G68" s="199" t="s">
        <v>390</v>
      </c>
      <c r="H68" s="199"/>
      <c r="J68" s="199" t="s">
        <v>391</v>
      </c>
      <c r="K68" s="199"/>
    </row>
    <row r="69" spans="2:11">
      <c r="B69" t="s">
        <v>392</v>
      </c>
      <c r="D69" s="38">
        <f>SUM(E57:E66)</f>
        <v>146834.86805310345</v>
      </c>
      <c r="E69" t="s">
        <v>78</v>
      </c>
      <c r="G69" s="38">
        <f>4*Construction!L18</f>
        <v>195596</v>
      </c>
      <c r="H69" t="s">
        <v>78</v>
      </c>
      <c r="J69" s="38">
        <f>G69-D69</f>
        <v>48761.131946896552</v>
      </c>
      <c r="K69" t="s">
        <v>78</v>
      </c>
    </row>
    <row r="70" spans="2:11">
      <c r="B70" t="s">
        <v>393</v>
      </c>
    </row>
    <row r="71" spans="2:11">
      <c r="D71" t="s">
        <v>394</v>
      </c>
      <c r="G71" t="s">
        <v>394</v>
      </c>
      <c r="J71" t="s">
        <v>394</v>
      </c>
    </row>
    <row r="72" spans="2:11">
      <c r="D72" s="77">
        <f>D69/Construction!L18</f>
        <v>3.0028194452463945</v>
      </c>
      <c r="G72" s="77">
        <f>4</f>
        <v>4</v>
      </c>
      <c r="J72" s="77">
        <f>J69/Construction!L18</f>
        <v>0.99718055475360545</v>
      </c>
    </row>
    <row r="74" spans="2:11">
      <c r="B74" s="1" t="s">
        <v>395</v>
      </c>
      <c r="E74" s="1" t="s">
        <v>396</v>
      </c>
    </row>
    <row r="75" spans="2:11">
      <c r="B75" t="s">
        <v>397</v>
      </c>
      <c r="E75" t="s">
        <v>398</v>
      </c>
    </row>
    <row r="76" spans="2:11" ht="15" thickBot="1">
      <c r="B76" t="s">
        <v>399</v>
      </c>
      <c r="E76" t="s">
        <v>400</v>
      </c>
    </row>
    <row r="77" spans="2:11" ht="15" thickBot="1">
      <c r="B77" s="90" t="s">
        <v>384</v>
      </c>
      <c r="C77" s="92" t="s">
        <v>387</v>
      </c>
      <c r="E77" s="90" t="s">
        <v>384</v>
      </c>
      <c r="F77" s="92" t="s">
        <v>387</v>
      </c>
    </row>
    <row r="78" spans="2:11">
      <c r="B78" s="86" t="s">
        <v>34</v>
      </c>
      <c r="C78" s="93">
        <f t="shared" ref="C78:C87" si="7">B$90*E57/D$69</f>
        <v>24.128493361684615</v>
      </c>
      <c r="E78" s="86" t="s">
        <v>34</v>
      </c>
      <c r="F78" s="93">
        <f>E$90*C57/SUM(C57:C66)</f>
        <v>851.85949782533544</v>
      </c>
    </row>
    <row r="79" spans="2:11">
      <c r="B79" s="86" t="s">
        <v>377</v>
      </c>
      <c r="C79" s="93">
        <f t="shared" si="7"/>
        <v>2146.5312686825937</v>
      </c>
      <c r="E79" s="86" t="s">
        <v>377</v>
      </c>
      <c r="F79" s="93">
        <f>E$90*(C58)/SUM(C57:C66)</f>
        <v>14544.318993213819</v>
      </c>
    </row>
    <row r="80" spans="2:11">
      <c r="B80" s="86" t="s">
        <v>152</v>
      </c>
      <c r="C80" s="93">
        <f t="shared" si="7"/>
        <v>9132.5764789561708</v>
      </c>
      <c r="E80" s="86" t="s">
        <v>152</v>
      </c>
      <c r="F80" s="93">
        <f t="shared" ref="F80:F87" si="8">E$90*C59/SUM(C$57:C$66)</f>
        <v>78164.063783096717</v>
      </c>
    </row>
    <row r="81" spans="2:13">
      <c r="B81" s="86" t="s">
        <v>36</v>
      </c>
      <c r="C81" s="93">
        <f t="shared" si="7"/>
        <v>1098.1481585349325</v>
      </c>
      <c r="E81" s="86" t="s">
        <v>36</v>
      </c>
      <c r="F81" s="93">
        <f t="shared" si="8"/>
        <v>1784.0411024940081</v>
      </c>
    </row>
    <row r="82" spans="2:13">
      <c r="B82" s="86" t="s">
        <v>39</v>
      </c>
      <c r="C82" s="93">
        <f t="shared" si="7"/>
        <v>58.375387165366668</v>
      </c>
      <c r="E82" s="86" t="s">
        <v>39</v>
      </c>
      <c r="F82" s="93">
        <f t="shared" si="8"/>
        <v>2060.9503979645215</v>
      </c>
    </row>
    <row r="83" spans="2:13">
      <c r="B83" s="86" t="s">
        <v>37</v>
      </c>
      <c r="C83" s="93">
        <f t="shared" si="7"/>
        <v>410.67210549609752</v>
      </c>
      <c r="E83" s="86" t="s">
        <v>37</v>
      </c>
      <c r="F83" s="93">
        <f t="shared" si="8"/>
        <v>829.8993843515575</v>
      </c>
    </row>
    <row r="84" spans="2:13">
      <c r="B84" s="86" t="s">
        <v>35</v>
      </c>
      <c r="C84" s="93">
        <f t="shared" si="7"/>
        <v>8326.9133502818077</v>
      </c>
      <c r="E84" s="86" t="s">
        <v>35</v>
      </c>
      <c r="F84" s="93">
        <f t="shared" si="8"/>
        <v>9941.4448017089817</v>
      </c>
    </row>
    <row r="85" spans="2:13">
      <c r="B85" s="86" t="s">
        <v>368</v>
      </c>
      <c r="C85" s="93">
        <f t="shared" si="7"/>
        <v>246.04731654398162</v>
      </c>
      <c r="E85" s="86" t="s">
        <v>368</v>
      </c>
      <c r="F85" s="93">
        <f t="shared" si="8"/>
        <v>1667.1504913302444</v>
      </c>
    </row>
    <row r="86" spans="2:13">
      <c r="B86" s="86" t="s">
        <v>33</v>
      </c>
      <c r="C86" s="93">
        <f t="shared" si="7"/>
        <v>211.83288535074195</v>
      </c>
      <c r="E86" s="86" t="s">
        <v>33</v>
      </c>
      <c r="F86" s="93">
        <f t="shared" si="8"/>
        <v>3701.6217019152878</v>
      </c>
    </row>
    <row r="87" spans="2:13" ht="15" thickBot="1">
      <c r="B87" s="87" t="s">
        <v>30</v>
      </c>
      <c r="C87" s="94">
        <f t="shared" si="7"/>
        <v>3409.1461262884523</v>
      </c>
      <c r="E87" s="87" t="s">
        <v>30</v>
      </c>
      <c r="F87" s="93">
        <f t="shared" si="8"/>
        <v>12678.649846099534</v>
      </c>
      <c r="H87" s="38"/>
    </row>
    <row r="88" spans="2:13">
      <c r="C88" s="38"/>
    </row>
    <row r="89" spans="2:13">
      <c r="B89" t="s">
        <v>401</v>
      </c>
      <c r="E89" t="s">
        <v>402</v>
      </c>
    </row>
    <row r="90" spans="2:13">
      <c r="B90" s="38">
        <f>G69*'Building Consents'!BH62/'Building Consents'!BE62</f>
        <v>25064.371570661828</v>
      </c>
      <c r="C90" t="s">
        <v>78</v>
      </c>
      <c r="E90" s="38">
        <f>Demolition!A17</f>
        <v>126224</v>
      </c>
      <c r="F90" t="s">
        <v>78</v>
      </c>
    </row>
    <row r="93" spans="2:13">
      <c r="B93" t="s">
        <v>343</v>
      </c>
      <c r="F93" s="38"/>
    </row>
    <row r="94" spans="2:13" ht="15" thickBot="1"/>
    <row r="95" spans="2:13" ht="15" thickBot="1">
      <c r="B95" s="90" t="s">
        <v>384</v>
      </c>
      <c r="C95" s="90" t="s">
        <v>403</v>
      </c>
      <c r="D95" s="91" t="s">
        <v>404</v>
      </c>
      <c r="E95" s="91" t="s">
        <v>405</v>
      </c>
      <c r="F95" s="95" t="s">
        <v>406</v>
      </c>
      <c r="G95" s="92" t="s">
        <v>407</v>
      </c>
      <c r="H95" s="92" t="s">
        <v>408</v>
      </c>
      <c r="L95" s="131" t="s">
        <v>409</v>
      </c>
      <c r="M95" s="119" t="s">
        <v>410</v>
      </c>
    </row>
    <row r="96" spans="2:13">
      <c r="B96" s="78" t="s">
        <v>34</v>
      </c>
      <c r="C96" s="96">
        <f>E57</f>
        <v>141.35220303030292</v>
      </c>
      <c r="D96" s="38">
        <f>K57</f>
        <v>46.940440743627818</v>
      </c>
      <c r="E96" s="38">
        <f>C78</f>
        <v>24.128493361684615</v>
      </c>
      <c r="F96" s="97">
        <f>F78</f>
        <v>851.85949782533544</v>
      </c>
      <c r="G96" s="93">
        <f>SUM(C96:F96)</f>
        <v>1064.2806349609507</v>
      </c>
      <c r="H96" s="93">
        <f t="shared" ref="H96:H105" si="9">G96*1000/M96</f>
        <v>16893.343412078582</v>
      </c>
      <c r="I96" s="38"/>
      <c r="L96" s="86" t="s">
        <v>34</v>
      </c>
      <c r="M96" s="79">
        <v>63</v>
      </c>
    </row>
    <row r="97" spans="2:13">
      <c r="B97" s="78" t="s">
        <v>377</v>
      </c>
      <c r="C97" s="96">
        <f t="shared" ref="C97:C105" si="10">E58</f>
        <v>12575.046404825815</v>
      </c>
      <c r="D97" s="38">
        <f t="shared" ref="D97:D105" si="11">K58</f>
        <v>4175.9393059303984</v>
      </c>
      <c r="E97" s="38">
        <f t="shared" ref="E97:E105" si="12">C79</f>
        <v>2146.5312686825937</v>
      </c>
      <c r="F97" s="97">
        <f t="shared" ref="F97:F105" si="13">F79</f>
        <v>14544.318993213819</v>
      </c>
      <c r="G97" s="93">
        <f t="shared" ref="G97:G105" si="14">SUM(C97:F97)</f>
        <v>33441.835972652625</v>
      </c>
      <c r="H97" s="93">
        <f t="shared" si="9"/>
        <v>22294.557315101749</v>
      </c>
      <c r="I97" s="38"/>
      <c r="L97" s="86" t="s">
        <v>377</v>
      </c>
      <c r="M97" s="79">
        <v>1500</v>
      </c>
    </row>
    <row r="98" spans="2:13">
      <c r="B98" s="78" t="s">
        <v>152</v>
      </c>
      <c r="C98" s="96">
        <f t="shared" si="10"/>
        <v>53501.467550937552</v>
      </c>
      <c r="D98" s="38">
        <f t="shared" si="11"/>
        <v>17766.843483391087</v>
      </c>
      <c r="E98" s="38">
        <f t="shared" si="12"/>
        <v>9132.5764789561708</v>
      </c>
      <c r="F98" s="97">
        <f t="shared" si="13"/>
        <v>78164.063783096717</v>
      </c>
      <c r="G98" s="93">
        <f t="shared" si="14"/>
        <v>158564.95129638154</v>
      </c>
      <c r="H98" s="93">
        <f t="shared" si="9"/>
        <v>176183.2792182017</v>
      </c>
      <c r="I98" s="38"/>
      <c r="L98" s="86" t="s">
        <v>152</v>
      </c>
      <c r="M98" s="79">
        <v>900</v>
      </c>
    </row>
    <row r="99" spans="2:13">
      <c r="B99" s="78" t="s">
        <v>36</v>
      </c>
      <c r="C99" s="96">
        <f t="shared" si="10"/>
        <v>6433.2927520902376</v>
      </c>
      <c r="D99" s="38">
        <f t="shared" si="11"/>
        <v>2136.377012469793</v>
      </c>
      <c r="E99" s="38">
        <f t="shared" si="12"/>
        <v>1098.1481585349325</v>
      </c>
      <c r="F99" s="97">
        <f t="shared" si="13"/>
        <v>1784.0411024940081</v>
      </c>
      <c r="G99" s="93">
        <f t="shared" si="14"/>
        <v>11451.85902558897</v>
      </c>
      <c r="H99" s="93">
        <f t="shared" si="9"/>
        <v>50897.151224839872</v>
      </c>
      <c r="I99" s="38"/>
      <c r="L99" s="86" t="s">
        <v>36</v>
      </c>
      <c r="M99" s="79">
        <v>225</v>
      </c>
    </row>
    <row r="100" spans="2:13">
      <c r="B100" s="78" t="s">
        <v>39</v>
      </c>
      <c r="C100" s="96">
        <f t="shared" si="10"/>
        <v>341.98113636363996</v>
      </c>
      <c r="D100" s="38">
        <f t="shared" si="11"/>
        <v>113.56558244426213</v>
      </c>
      <c r="E100" s="38">
        <f t="shared" si="12"/>
        <v>58.375387165366668</v>
      </c>
      <c r="F100" s="97">
        <f t="shared" si="13"/>
        <v>2060.9503979645215</v>
      </c>
      <c r="G100" s="93">
        <f t="shared" si="14"/>
        <v>2574.8725039377905</v>
      </c>
      <c r="H100" s="93">
        <f t="shared" si="9"/>
        <v>6264.8966032549652</v>
      </c>
      <c r="I100" s="38"/>
      <c r="L100" s="86" t="s">
        <v>39</v>
      </c>
      <c r="M100" s="79">
        <v>411</v>
      </c>
    </row>
    <row r="101" spans="2:13">
      <c r="B101" s="78" t="s">
        <v>37</v>
      </c>
      <c r="C101" s="96">
        <f t="shared" si="10"/>
        <v>2405.8446569708831</v>
      </c>
      <c r="D101" s="38">
        <f t="shared" si="11"/>
        <v>798.93631749556243</v>
      </c>
      <c r="E101" s="38">
        <f t="shared" si="12"/>
        <v>410.67210549609752</v>
      </c>
      <c r="F101" s="97">
        <f t="shared" si="13"/>
        <v>829.8993843515575</v>
      </c>
      <c r="G101" s="93">
        <f t="shared" si="14"/>
        <v>4445.3524643141009</v>
      </c>
      <c r="H101" s="93">
        <f t="shared" si="9"/>
        <v>44453.524643141012</v>
      </c>
      <c r="I101" s="38"/>
      <c r="L101" s="86" t="s">
        <v>37</v>
      </c>
      <c r="M101" s="79">
        <v>100</v>
      </c>
    </row>
    <row r="102" spans="2:13">
      <c r="B102" s="78" t="s">
        <v>35</v>
      </c>
      <c r="C102" s="96">
        <f t="shared" si="10"/>
        <v>48781.642884253233</v>
      </c>
      <c r="D102" s="38">
        <f t="shared" si="11"/>
        <v>16199.477391195745</v>
      </c>
      <c r="E102" s="38">
        <f t="shared" si="12"/>
        <v>8326.9133502818077</v>
      </c>
      <c r="F102" s="97">
        <f t="shared" si="13"/>
        <v>9941.4448017089817</v>
      </c>
      <c r="G102" s="93">
        <f t="shared" si="14"/>
        <v>83249.478427439753</v>
      </c>
      <c r="H102" s="93">
        <f t="shared" si="9"/>
        <v>349787.72448504099</v>
      </c>
      <c r="I102" s="38"/>
      <c r="L102" s="86" t="s">
        <v>35</v>
      </c>
      <c r="M102" s="79">
        <v>238</v>
      </c>
    </row>
    <row r="103" spans="2:13">
      <c r="B103" s="78" t="s">
        <v>368</v>
      </c>
      <c r="C103" s="96">
        <f t="shared" si="10"/>
        <v>1441.4215476219797</v>
      </c>
      <c r="D103" s="38">
        <f t="shared" si="11"/>
        <v>478.66931885195163</v>
      </c>
      <c r="E103" s="38">
        <f t="shared" si="12"/>
        <v>246.04731654398162</v>
      </c>
      <c r="F103" s="97">
        <f t="shared" si="13"/>
        <v>1667.1504913302444</v>
      </c>
      <c r="G103" s="93">
        <f t="shared" si="14"/>
        <v>3833.2886743481577</v>
      </c>
      <c r="H103" s="93">
        <f t="shared" si="9"/>
        <v>82436.315577379733</v>
      </c>
      <c r="I103" s="38"/>
      <c r="L103" s="86" t="s">
        <v>368</v>
      </c>
      <c r="M103" s="79">
        <f>(72+21)/2</f>
        <v>46.5</v>
      </c>
    </row>
    <row r="104" spans="2:13">
      <c r="B104" s="78" t="s">
        <v>33</v>
      </c>
      <c r="C104" s="96">
        <f t="shared" si="10"/>
        <v>1240.9827903362457</v>
      </c>
      <c r="D104" s="38">
        <f t="shared" si="11"/>
        <v>412.10733108384875</v>
      </c>
      <c r="E104" s="38">
        <f t="shared" si="12"/>
        <v>211.83288535074195</v>
      </c>
      <c r="F104" s="97">
        <f t="shared" si="13"/>
        <v>3701.6217019152878</v>
      </c>
      <c r="G104" s="93">
        <f>SUM(C104:F104)</f>
        <v>5566.5447086861241</v>
      </c>
      <c r="H104" s="93">
        <f t="shared" si="9"/>
        <v>88357.852518827378</v>
      </c>
      <c r="I104" s="38"/>
      <c r="L104" s="86" t="s">
        <v>33</v>
      </c>
      <c r="M104" s="79">
        <v>63</v>
      </c>
    </row>
    <row r="105" spans="2:13" ht="15" thickBot="1">
      <c r="B105" s="80" t="s">
        <v>30</v>
      </c>
      <c r="C105" s="98">
        <f t="shared" si="10"/>
        <v>19971.836126673559</v>
      </c>
      <c r="D105" s="81">
        <f t="shared" si="11"/>
        <v>6632.2757632902867</v>
      </c>
      <c r="E105" s="81">
        <f t="shared" si="12"/>
        <v>3409.1461262884523</v>
      </c>
      <c r="F105" s="82">
        <f t="shared" si="13"/>
        <v>12678.649846099534</v>
      </c>
      <c r="G105" s="94">
        <f t="shared" si="14"/>
        <v>42691.907862351829</v>
      </c>
      <c r="H105" s="93">
        <f t="shared" si="9"/>
        <v>239842.17900197656</v>
      </c>
      <c r="I105" s="38"/>
      <c r="L105" s="87" t="s">
        <v>30</v>
      </c>
      <c r="M105" s="89">
        <v>178</v>
      </c>
    </row>
    <row r="106" spans="2:13" ht="15" thickBot="1">
      <c r="B106" s="131" t="s">
        <v>200</v>
      </c>
      <c r="C106" s="121">
        <f t="shared" ref="C106:G106" si="15">SUM(C96:C105)</f>
        <v>146834.86805310345</v>
      </c>
      <c r="D106" s="121">
        <f t="shared" si="15"/>
        <v>48761.131946896559</v>
      </c>
      <c r="E106" s="121">
        <f t="shared" si="15"/>
        <v>25064.371570661824</v>
      </c>
      <c r="F106" s="121">
        <f>SUM(F96:F105)</f>
        <v>126224.00000000001</v>
      </c>
      <c r="G106" s="122">
        <f t="shared" si="15"/>
        <v>346884.37157066178</v>
      </c>
      <c r="H106" s="122">
        <f>SUM(H96:H105)</f>
        <v>1077410.8239998426</v>
      </c>
      <c r="I106" s="38"/>
    </row>
    <row r="107" spans="2:13">
      <c r="F107" s="199" t="s">
        <v>411</v>
      </c>
      <c r="G107" s="199"/>
    </row>
    <row r="108" spans="2:13">
      <c r="F108" s="38">
        <f>SUM(G96:G105)</f>
        <v>346884.37157066178</v>
      </c>
      <c r="G108" t="s">
        <v>78</v>
      </c>
    </row>
    <row r="109" spans="2:13">
      <c r="B109" s="1" t="s">
        <v>344</v>
      </c>
    </row>
    <row r="110" spans="2:13" ht="15" thickBot="1"/>
    <row r="111" spans="2:13" ht="15" thickBot="1">
      <c r="B111" s="90" t="s">
        <v>384</v>
      </c>
      <c r="C111" s="99" t="s">
        <v>412</v>
      </c>
      <c r="D111" s="90" t="s">
        <v>376</v>
      </c>
      <c r="E111" s="91" t="s">
        <v>373</v>
      </c>
      <c r="F111" s="95" t="s">
        <v>413</v>
      </c>
    </row>
    <row r="112" spans="2:13">
      <c r="B112" s="78" t="s">
        <v>34</v>
      </c>
      <c r="C112" s="93">
        <f t="shared" ref="C112:C121" si="16">G96</f>
        <v>1064.2806349609507</v>
      </c>
      <c r="D112" s="96">
        <f>C112*G43/100</f>
        <v>53.214031748047539</v>
      </c>
      <c r="E112" s="38">
        <f>C112*D43/100</f>
        <v>0</v>
      </c>
      <c r="F112" s="97">
        <f>C112*E43/100</f>
        <v>1011.0666032129031</v>
      </c>
    </row>
    <row r="113" spans="2:6">
      <c r="B113" s="78" t="s">
        <v>377</v>
      </c>
      <c r="C113" s="93">
        <f t="shared" si="16"/>
        <v>33441.835972652625</v>
      </c>
      <c r="D113" s="96">
        <f t="shared" ref="D113:D121" si="17">C113*G44/100</f>
        <v>3344.1835972652625</v>
      </c>
      <c r="E113" s="38">
        <f t="shared" ref="E113:E121" si="18">C113*D44/100</f>
        <v>30097.652375387363</v>
      </c>
      <c r="F113" s="97">
        <f t="shared" ref="F113:F121" si="19">C113*E44/100</f>
        <v>0</v>
      </c>
    </row>
    <row r="114" spans="2:6">
      <c r="B114" s="78" t="s">
        <v>152</v>
      </c>
      <c r="C114" s="93">
        <f t="shared" si="16"/>
        <v>158564.95129638154</v>
      </c>
      <c r="D114" s="96">
        <f t="shared" si="17"/>
        <v>142708.45616674339</v>
      </c>
      <c r="E114" s="38">
        <f t="shared" si="18"/>
        <v>0</v>
      </c>
      <c r="F114" s="97">
        <f t="shared" si="19"/>
        <v>15856.495129638153</v>
      </c>
    </row>
    <row r="115" spans="2:6">
      <c r="B115" s="78" t="s">
        <v>36</v>
      </c>
      <c r="C115" s="93">
        <f t="shared" si="16"/>
        <v>11451.85902558897</v>
      </c>
      <c r="D115" s="96">
        <f t="shared" si="17"/>
        <v>8588.8942691917273</v>
      </c>
      <c r="E115" s="38">
        <f t="shared" si="18"/>
        <v>2862.9647563972421</v>
      </c>
      <c r="F115" s="97">
        <f t="shared" si="19"/>
        <v>0</v>
      </c>
    </row>
    <row r="116" spans="2:6">
      <c r="B116" s="78" t="s">
        <v>39</v>
      </c>
      <c r="C116" s="93">
        <f t="shared" si="16"/>
        <v>2574.8725039377905</v>
      </c>
      <c r="D116" s="96">
        <f t="shared" si="17"/>
        <v>2574.8725039377905</v>
      </c>
      <c r="E116" s="38">
        <f t="shared" si="18"/>
        <v>0</v>
      </c>
      <c r="F116" s="97">
        <f t="shared" si="19"/>
        <v>0</v>
      </c>
    </row>
    <row r="117" spans="2:6">
      <c r="B117" s="78" t="s">
        <v>37</v>
      </c>
      <c r="C117" s="93">
        <f t="shared" si="16"/>
        <v>4445.3524643141009</v>
      </c>
      <c r="D117" s="96">
        <f t="shared" si="17"/>
        <v>4445.3524643141009</v>
      </c>
      <c r="E117" s="38">
        <f t="shared" si="18"/>
        <v>0</v>
      </c>
      <c r="F117" s="97">
        <f t="shared" si="19"/>
        <v>0</v>
      </c>
    </row>
    <row r="118" spans="2:6">
      <c r="B118" s="78" t="s">
        <v>35</v>
      </c>
      <c r="C118" s="93">
        <f t="shared" si="16"/>
        <v>83249.478427439753</v>
      </c>
      <c r="D118" s="96">
        <f t="shared" si="17"/>
        <v>74924.530584695778</v>
      </c>
      <c r="E118" s="38">
        <f t="shared" si="18"/>
        <v>0</v>
      </c>
      <c r="F118" s="97">
        <f t="shared" si="19"/>
        <v>8324.9478427439753</v>
      </c>
    </row>
    <row r="119" spans="2:6">
      <c r="B119" s="78" t="s">
        <v>368</v>
      </c>
      <c r="C119" s="93">
        <f t="shared" si="16"/>
        <v>3833.2886743481577</v>
      </c>
      <c r="D119" s="96">
        <f t="shared" si="17"/>
        <v>3833.2886743481572</v>
      </c>
      <c r="E119" s="38">
        <f t="shared" si="18"/>
        <v>0</v>
      </c>
      <c r="F119" s="97">
        <f t="shared" si="19"/>
        <v>0</v>
      </c>
    </row>
    <row r="120" spans="2:6">
      <c r="B120" s="78" t="s">
        <v>33</v>
      </c>
      <c r="C120" s="93">
        <f t="shared" si="16"/>
        <v>5566.5447086861241</v>
      </c>
      <c r="D120" s="96">
        <f t="shared" si="17"/>
        <v>208.74542657572965</v>
      </c>
      <c r="E120" s="38">
        <f t="shared" si="18"/>
        <v>69.581808858576551</v>
      </c>
      <c r="F120" s="97">
        <f t="shared" si="19"/>
        <v>5288.217473251817</v>
      </c>
    </row>
    <row r="121" spans="2:6" ht="15" thickBot="1">
      <c r="B121" s="80" t="s">
        <v>30</v>
      </c>
      <c r="C121" s="93">
        <f t="shared" si="16"/>
        <v>42691.907862351829</v>
      </c>
      <c r="D121" s="98">
        <f t="shared" si="17"/>
        <v>26682.442413969893</v>
      </c>
      <c r="E121" s="81">
        <f t="shared" si="18"/>
        <v>0</v>
      </c>
      <c r="F121" s="82">
        <f t="shared" si="19"/>
        <v>16009.465448381936</v>
      </c>
    </row>
    <row r="122" spans="2:6" ht="15" thickBot="1">
      <c r="B122" s="80" t="s">
        <v>200</v>
      </c>
      <c r="C122" s="100">
        <f>SUM(C112:C121)</f>
        <v>346884.37157066178</v>
      </c>
      <c r="D122" s="81">
        <f t="shared" ref="D122:F122" si="20">SUM(D112:D121)</f>
        <v>267363.98013278987</v>
      </c>
      <c r="E122" s="81">
        <f t="shared" si="20"/>
        <v>33030.198940643182</v>
      </c>
      <c r="F122" s="82">
        <f t="shared" si="20"/>
        <v>46490.192497228782</v>
      </c>
    </row>
    <row r="124" spans="2:6">
      <c r="B124" t="s">
        <v>414</v>
      </c>
      <c r="E124" s="38"/>
    </row>
    <row r="125" spans="2:6" ht="15" thickBot="1">
      <c r="B125" t="s">
        <v>415</v>
      </c>
    </row>
    <row r="126" spans="2:6" ht="15" thickBot="1">
      <c r="B126" s="311" t="s">
        <v>416</v>
      </c>
      <c r="C126" s="312"/>
      <c r="D126" s="90" t="s">
        <v>376</v>
      </c>
      <c r="E126" s="91" t="s">
        <v>373</v>
      </c>
      <c r="F126" s="95" t="s">
        <v>413</v>
      </c>
    </row>
    <row r="127" spans="2:6" ht="15" thickBot="1">
      <c r="B127" s="309">
        <f>F108*'Building Consents'!BF66/'Building Consents'!BE66</f>
        <v>134076.72689250342</v>
      </c>
      <c r="C127" s="315"/>
      <c r="D127" s="98">
        <f>$B$127*D122/$C$122</f>
        <v>103340.73911385349</v>
      </c>
      <c r="E127" s="81">
        <f>$B$127*E122/$C$122</f>
        <v>12766.735331769052</v>
      </c>
      <c r="F127" s="82">
        <f>$B$127*F122/$C$122</f>
        <v>17969.252446880892</v>
      </c>
    </row>
    <row r="131" spans="2:18" ht="15" thickBot="1">
      <c r="B131" t="s">
        <v>417</v>
      </c>
    </row>
    <row r="132" spans="2:18" ht="15" thickBot="1">
      <c r="B132" s="126" t="s">
        <v>384</v>
      </c>
      <c r="C132" s="91" t="s">
        <v>403</v>
      </c>
      <c r="D132" s="91" t="s">
        <v>418</v>
      </c>
      <c r="E132" s="91" t="s">
        <v>405</v>
      </c>
      <c r="F132" s="91" t="s">
        <v>419</v>
      </c>
      <c r="G132" s="125" t="s">
        <v>420</v>
      </c>
      <c r="H132" s="124"/>
      <c r="J132" s="37"/>
      <c r="K132" s="37"/>
      <c r="L132" s="37"/>
      <c r="M132" s="37"/>
      <c r="N132" s="37"/>
      <c r="O132" s="37"/>
      <c r="P132" s="37"/>
      <c r="Q132" s="37"/>
      <c r="R132" s="124"/>
    </row>
    <row r="133" spans="2:18">
      <c r="B133" s="86" t="s">
        <v>34</v>
      </c>
      <c r="C133" s="38">
        <f>C96</f>
        <v>141.35220303030292</v>
      </c>
      <c r="D133" s="38">
        <f t="shared" ref="D133:F133" si="21">D96</f>
        <v>46.940440743627818</v>
      </c>
      <c r="E133" s="38">
        <f t="shared" si="21"/>
        <v>24.128493361684615</v>
      </c>
      <c r="F133" s="38">
        <f t="shared" si="21"/>
        <v>851.85949782533544</v>
      </c>
      <c r="G133" s="79" t="s">
        <v>41</v>
      </c>
      <c r="J133" s="38"/>
      <c r="K133" s="38"/>
      <c r="L133" s="38"/>
      <c r="N133" s="38"/>
      <c r="P133" s="38"/>
    </row>
    <row r="134" spans="2:18">
      <c r="B134" s="86" t="s">
        <v>377</v>
      </c>
      <c r="C134" s="38">
        <f t="shared" ref="C134:F134" si="22">C97</f>
        <v>12575.046404825815</v>
      </c>
      <c r="D134" s="38">
        <f t="shared" si="22"/>
        <v>4175.9393059303984</v>
      </c>
      <c r="E134" s="38">
        <f t="shared" si="22"/>
        <v>2146.5312686825937</v>
      </c>
      <c r="F134" s="38">
        <f t="shared" si="22"/>
        <v>14544.318993213819</v>
      </c>
      <c r="G134" s="79" t="s">
        <v>41</v>
      </c>
      <c r="J134" s="38"/>
      <c r="L134" s="38"/>
      <c r="N134" s="38"/>
      <c r="P134" s="38"/>
    </row>
    <row r="135" spans="2:18">
      <c r="B135" s="86" t="s">
        <v>152</v>
      </c>
      <c r="C135" s="38">
        <f t="shared" ref="C135:F135" si="23">C98</f>
        <v>53501.467550937552</v>
      </c>
      <c r="D135" s="38">
        <f t="shared" si="23"/>
        <v>17766.843483391087</v>
      </c>
      <c r="E135" s="38">
        <f t="shared" si="23"/>
        <v>9132.5764789561708</v>
      </c>
      <c r="F135" s="38">
        <f t="shared" si="23"/>
        <v>78164.063783096717</v>
      </c>
      <c r="G135" s="79" t="s">
        <v>41</v>
      </c>
      <c r="J135" s="38"/>
      <c r="L135" s="38"/>
      <c r="N135" s="38"/>
      <c r="P135" s="38"/>
    </row>
    <row r="136" spans="2:18">
      <c r="B136" s="86" t="s">
        <v>36</v>
      </c>
      <c r="C136" s="38">
        <f t="shared" ref="C136:F136" si="24">C99</f>
        <v>6433.2927520902376</v>
      </c>
      <c r="D136" s="38">
        <f t="shared" si="24"/>
        <v>2136.377012469793</v>
      </c>
      <c r="E136" s="38">
        <f t="shared" si="24"/>
        <v>1098.1481585349325</v>
      </c>
      <c r="F136" s="38">
        <f t="shared" si="24"/>
        <v>1784.0411024940081</v>
      </c>
      <c r="G136" s="79" t="s">
        <v>41</v>
      </c>
      <c r="J136" s="38"/>
      <c r="L136" s="38"/>
      <c r="N136" s="38"/>
      <c r="P136" s="38"/>
    </row>
    <row r="137" spans="2:18">
      <c r="B137" s="86" t="s">
        <v>39</v>
      </c>
      <c r="C137" s="38">
        <f t="shared" ref="C137:F137" si="25">C100</f>
        <v>341.98113636363996</v>
      </c>
      <c r="D137" s="38">
        <f t="shared" si="25"/>
        <v>113.56558244426213</v>
      </c>
      <c r="E137" s="38">
        <f t="shared" si="25"/>
        <v>58.375387165366668</v>
      </c>
      <c r="F137" s="38">
        <f t="shared" si="25"/>
        <v>2060.9503979645215</v>
      </c>
      <c r="G137" s="79" t="s">
        <v>41</v>
      </c>
      <c r="J137" s="38"/>
      <c r="L137" s="38"/>
      <c r="N137" s="38"/>
      <c r="P137" s="38"/>
    </row>
    <row r="138" spans="2:18">
      <c r="B138" s="86" t="s">
        <v>37</v>
      </c>
      <c r="C138" s="38">
        <f t="shared" ref="C138:F138" si="26">C101</f>
        <v>2405.8446569708831</v>
      </c>
      <c r="D138" s="38">
        <f t="shared" si="26"/>
        <v>798.93631749556243</v>
      </c>
      <c r="E138" s="38">
        <f t="shared" si="26"/>
        <v>410.67210549609752</v>
      </c>
      <c r="F138" s="38">
        <f t="shared" si="26"/>
        <v>829.8993843515575</v>
      </c>
      <c r="G138" s="79" t="s">
        <v>41</v>
      </c>
      <c r="J138" s="38"/>
      <c r="L138" s="38"/>
      <c r="N138" s="38"/>
      <c r="P138" s="38"/>
    </row>
    <row r="139" spans="2:18">
      <c r="B139" s="86" t="s">
        <v>35</v>
      </c>
      <c r="C139" s="38">
        <f t="shared" ref="C139:F139" si="27">C102</f>
        <v>48781.642884253233</v>
      </c>
      <c r="D139" s="38">
        <f t="shared" si="27"/>
        <v>16199.477391195745</v>
      </c>
      <c r="E139" s="38">
        <f t="shared" si="27"/>
        <v>8326.9133502818077</v>
      </c>
      <c r="F139" s="38">
        <f t="shared" si="27"/>
        <v>9941.4448017089817</v>
      </c>
      <c r="G139" s="79" t="s">
        <v>41</v>
      </c>
      <c r="J139" s="38"/>
      <c r="L139" s="38"/>
      <c r="N139" s="38"/>
      <c r="P139" s="38"/>
    </row>
    <row r="140" spans="2:18">
      <c r="B140" s="86" t="s">
        <v>368</v>
      </c>
      <c r="C140" s="38">
        <f t="shared" ref="C140:F140" si="28">C103</f>
        <v>1441.4215476219797</v>
      </c>
      <c r="D140" s="38">
        <f t="shared" si="28"/>
        <v>478.66931885195163</v>
      </c>
      <c r="E140" s="38">
        <f t="shared" si="28"/>
        <v>246.04731654398162</v>
      </c>
      <c r="F140" s="38">
        <f t="shared" si="28"/>
        <v>1667.1504913302444</v>
      </c>
      <c r="G140" s="79" t="s">
        <v>41</v>
      </c>
      <c r="J140" s="38"/>
      <c r="L140" s="38"/>
      <c r="N140" s="38"/>
      <c r="P140" s="38"/>
    </row>
    <row r="141" spans="2:18">
      <c r="B141" s="86" t="s">
        <v>33</v>
      </c>
      <c r="C141" s="38">
        <f t="shared" ref="C141:F141" si="29">C104</f>
        <v>1240.9827903362457</v>
      </c>
      <c r="D141" s="38">
        <f t="shared" si="29"/>
        <v>412.10733108384875</v>
      </c>
      <c r="E141" s="38">
        <f t="shared" si="29"/>
        <v>211.83288535074195</v>
      </c>
      <c r="F141" s="38">
        <f t="shared" si="29"/>
        <v>3701.6217019152878</v>
      </c>
      <c r="G141" s="79" t="s">
        <v>41</v>
      </c>
      <c r="J141" s="38"/>
      <c r="L141" s="38"/>
      <c r="N141" s="38"/>
      <c r="P141" s="38"/>
    </row>
    <row r="142" spans="2:18" ht="15" thickBot="1">
      <c r="B142" s="87" t="s">
        <v>30</v>
      </c>
      <c r="C142" s="38">
        <f t="shared" ref="C142:F142" si="30">C105</f>
        <v>19971.836126673559</v>
      </c>
      <c r="D142" s="38">
        <f t="shared" si="30"/>
        <v>6632.2757632902867</v>
      </c>
      <c r="E142" s="38">
        <f t="shared" si="30"/>
        <v>3409.1461262884523</v>
      </c>
      <c r="F142" s="38">
        <f t="shared" si="30"/>
        <v>12678.649846099534</v>
      </c>
      <c r="G142" s="79" t="s">
        <v>41</v>
      </c>
      <c r="J142" s="38"/>
      <c r="L142" s="38"/>
      <c r="N142" s="38"/>
      <c r="P142" s="38"/>
    </row>
    <row r="143" spans="2:18" ht="15" thickBot="1">
      <c r="B143" s="126" t="s">
        <v>200</v>
      </c>
      <c r="C143" s="121">
        <f>SUM(C133:C142)</f>
        <v>146834.86805310345</v>
      </c>
      <c r="D143" s="121">
        <f t="shared" ref="D143:F143" si="31">SUM(D133:D142)</f>
        <v>48761.131946896559</v>
      </c>
      <c r="E143" s="121">
        <f t="shared" si="31"/>
        <v>25064.371570661824</v>
      </c>
      <c r="F143" s="121">
        <f t="shared" si="31"/>
        <v>126224.00000000001</v>
      </c>
      <c r="G143" s="122">
        <f>B127</f>
        <v>134076.72689250342</v>
      </c>
      <c r="J143" s="38"/>
      <c r="L143" s="38"/>
      <c r="N143" s="38"/>
      <c r="P143" s="38"/>
      <c r="R143" s="38"/>
    </row>
    <row r="145" spans="2:7">
      <c r="F145" t="s">
        <v>421</v>
      </c>
    </row>
    <row r="146" spans="2:7">
      <c r="F146" s="38">
        <f>SUM(C143:G143)</f>
        <v>480961.09846316522</v>
      </c>
      <c r="G146" t="s">
        <v>78</v>
      </c>
    </row>
    <row r="148" spans="2:7" ht="15" thickBot="1">
      <c r="B148" t="s">
        <v>422</v>
      </c>
    </row>
    <row r="149" spans="2:7" ht="15" thickBot="1">
      <c r="B149" s="313" t="s">
        <v>412</v>
      </c>
      <c r="C149" s="314"/>
      <c r="D149" s="90" t="s">
        <v>376</v>
      </c>
      <c r="E149" s="91" t="s">
        <v>373</v>
      </c>
      <c r="F149" s="95" t="s">
        <v>413</v>
      </c>
    </row>
    <row r="150" spans="2:7" ht="15" thickBot="1">
      <c r="B150" s="309">
        <f>F146</f>
        <v>480961.09846316522</v>
      </c>
      <c r="C150" s="315"/>
      <c r="D150" s="98">
        <f>D127+D122</f>
        <v>370704.71924664336</v>
      </c>
      <c r="E150" s="81">
        <f>E127+E122</f>
        <v>45796.934272412233</v>
      </c>
      <c r="F150" s="82">
        <f>F127+F122</f>
        <v>64459.444944109673</v>
      </c>
    </row>
  </sheetData>
  <sortState ref="B27:C34">
    <sortCondition ref="B26:B34"/>
  </sortState>
  <mergeCells count="23">
    <mergeCell ref="B6:H6"/>
    <mergeCell ref="B7:H7"/>
    <mergeCell ref="B8:H8"/>
    <mergeCell ref="B2:H2"/>
    <mergeCell ref="B3:H3"/>
    <mergeCell ref="B4:H4"/>
    <mergeCell ref="B5:H5"/>
    <mergeCell ref="J68:K68"/>
    <mergeCell ref="F107:G107"/>
    <mergeCell ref="B126:C126"/>
    <mergeCell ref="B149:C149"/>
    <mergeCell ref="B150:C150"/>
    <mergeCell ref="B127:C127"/>
    <mergeCell ref="B14:H14"/>
    <mergeCell ref="B18:C18"/>
    <mergeCell ref="B19:C19"/>
    <mergeCell ref="B21:C21"/>
    <mergeCell ref="B22:C22"/>
    <mergeCell ref="B40:B42"/>
    <mergeCell ref="C40:C42"/>
    <mergeCell ref="D40:G41"/>
    <mergeCell ref="D68:E68"/>
    <mergeCell ref="G68:H68"/>
  </mergeCells>
  <hyperlinks>
    <hyperlink ref="B3" location="'Material Output'!B13" display="MfE estimates on C&amp;D waste" xr:uid="{9C0DDC1B-E204-4679-B2CF-78A9CECABDA0}"/>
    <hyperlink ref="B4" location="'Material Output'!B24" display="Composition of New Zealand C&amp;D landfill waste" xr:uid="{F8179D5E-2094-4640-A4E4-D2A3218202C6}"/>
    <hyperlink ref="B5" location="'Material Output'!B38" display="Residential construction waste estimates" xr:uid="{171C1729-C52C-4927-A503-E031EB796828}"/>
    <hyperlink ref="B6" location="'Material Output'!B93" display="Residential waste summary" xr:uid="{158D10E7-1FE1-4CDE-8439-38154F4184D5}"/>
    <hyperlink ref="B7" location="'Material Output'!B109" display="End-of-life for residential construction and demolition waste" xr:uid="{2811EC6F-1F56-488B-B64C-70387B1DCA57}"/>
    <hyperlink ref="B8" location="'Material Output'!B131" display="Summary of Residential and non-residential waste estimates" xr:uid="{E38F3434-423D-465B-B3DF-727E2B1EFB10}"/>
  </hyperlinks>
  <pageMargins left="0.7" right="0.7" top="0.75" bottom="0.75" header="0.3" footer="0.3"/>
  <pageSetup paperSize="9" orientation="landscape" horizontalDpi="0"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D835CC-C859-478A-AF8B-B39B40B96E50}">
  <dimension ref="A1:CM101"/>
  <sheetViews>
    <sheetView topLeftCell="AO45" zoomScale="38" zoomScaleNormal="38" workbookViewId="0">
      <selection activeCell="BC84" sqref="BC84"/>
    </sheetView>
  </sheetViews>
  <sheetFormatPr defaultColWidth="8.6328125" defaultRowHeight="14.5"/>
  <cols>
    <col min="1" max="1" width="5" style="106" bestFit="1" customWidth="1"/>
    <col min="2" max="2" width="7.6328125" style="106" bestFit="1" customWidth="1"/>
    <col min="3" max="3" width="14.6328125" style="106" bestFit="1" customWidth="1"/>
    <col min="4" max="4" width="9.36328125" style="106" bestFit="1" customWidth="1"/>
    <col min="5" max="5" width="7.6328125" style="106" bestFit="1" customWidth="1"/>
    <col min="6" max="6" width="13.36328125" style="106" customWidth="1"/>
    <col min="7" max="7" width="9.36328125" style="106" bestFit="1" customWidth="1"/>
    <col min="8" max="8" width="8.453125" style="106" customWidth="1"/>
    <col min="9" max="9" width="14.36328125" style="106" bestFit="1" customWidth="1"/>
    <col min="10" max="10" width="10.36328125" style="106" customWidth="1"/>
    <col min="11" max="11" width="7.6328125" style="106" bestFit="1" customWidth="1"/>
    <col min="12" max="12" width="14" style="106" bestFit="1" customWidth="1"/>
    <col min="13" max="13" width="9.36328125" style="106" bestFit="1" customWidth="1"/>
    <col min="14" max="14" width="7.6328125" style="106" bestFit="1" customWidth="1"/>
    <col min="15" max="15" width="12.36328125" style="106" bestFit="1" customWidth="1"/>
    <col min="16" max="16" width="9.36328125" style="106" bestFit="1" customWidth="1"/>
    <col min="17" max="17" width="7.6328125" style="106" bestFit="1" customWidth="1"/>
    <col min="18" max="18" width="14" style="106" bestFit="1" customWidth="1"/>
    <col min="19" max="19" width="9.36328125" style="106" bestFit="1" customWidth="1"/>
    <col min="20" max="20" width="7.6328125" style="106" bestFit="1" customWidth="1"/>
    <col min="21" max="21" width="14" style="106" bestFit="1" customWidth="1"/>
    <col min="22" max="22" width="9.36328125" style="106" bestFit="1" customWidth="1"/>
    <col min="23" max="23" width="7.6328125" style="106" bestFit="1" customWidth="1"/>
    <col min="24" max="24" width="12.36328125" style="106" bestFit="1" customWidth="1"/>
    <col min="25" max="25" width="9.36328125" style="106" bestFit="1" customWidth="1"/>
    <col min="26" max="26" width="7.6328125" style="106" bestFit="1" customWidth="1"/>
    <col min="27" max="27" width="14" style="106" bestFit="1" customWidth="1"/>
    <col min="28" max="28" width="9.36328125" style="106" bestFit="1" customWidth="1"/>
    <col min="29" max="29" width="7.6328125" style="106" bestFit="1" customWidth="1"/>
    <col min="30" max="30" width="14" style="106" bestFit="1" customWidth="1"/>
    <col min="31" max="31" width="9.36328125" style="106" bestFit="1" customWidth="1"/>
    <col min="32" max="32" width="7.6328125" style="106" bestFit="1" customWidth="1"/>
    <col min="33" max="33" width="12" style="106" bestFit="1" customWidth="1"/>
    <col min="34" max="34" width="9.36328125" style="106" bestFit="1" customWidth="1"/>
    <col min="35" max="35" width="7.6328125" style="106" bestFit="1" customWidth="1"/>
    <col min="36" max="36" width="14" style="106" bestFit="1" customWidth="1"/>
    <col min="37" max="37" width="9.36328125" style="106" bestFit="1" customWidth="1"/>
    <col min="38" max="38" width="7.6328125" style="106" bestFit="1" customWidth="1"/>
    <col min="39" max="39" width="14" style="106" bestFit="1" customWidth="1"/>
    <col min="40" max="40" width="9.36328125" style="106" bestFit="1" customWidth="1"/>
    <col min="41" max="41" width="7.6328125" style="106" bestFit="1" customWidth="1"/>
    <col min="42" max="42" width="12.36328125" style="106" bestFit="1" customWidth="1"/>
    <col min="43" max="43" width="9.36328125" style="106" bestFit="1" customWidth="1"/>
    <col min="44" max="44" width="7.6328125" style="106" bestFit="1" customWidth="1"/>
    <col min="45" max="45" width="14" style="106" bestFit="1" customWidth="1"/>
    <col min="46" max="46" width="9.36328125" style="106" bestFit="1" customWidth="1"/>
    <col min="47" max="47" width="7.6328125" style="106" bestFit="1" customWidth="1"/>
    <col min="48" max="48" width="14.6328125" style="106" bestFit="1" customWidth="1"/>
    <col min="49" max="49" width="12.6328125" style="106" bestFit="1" customWidth="1"/>
    <col min="50" max="50" width="7.6328125" style="106" bestFit="1" customWidth="1"/>
    <col min="51" max="51" width="14" style="106" bestFit="1" customWidth="1"/>
    <col min="52" max="52" width="9.36328125" style="106" bestFit="1" customWidth="1"/>
    <col min="53" max="53" width="7.6328125" style="106" bestFit="1" customWidth="1"/>
    <col min="54" max="54" width="15.36328125" style="106" bestFit="1" customWidth="1"/>
    <col min="55" max="55" width="9.36328125" style="106" bestFit="1" customWidth="1"/>
    <col min="56" max="56" width="7.6328125" style="106" bestFit="1" customWidth="1"/>
    <col min="57" max="57" width="15.453125" style="106" bestFit="1" customWidth="1"/>
    <col min="58" max="58" width="14.453125" style="106" bestFit="1" customWidth="1"/>
    <col min="59" max="59" width="16.6328125" style="106" customWidth="1"/>
    <col min="60" max="60" width="13.453125" style="106" bestFit="1" customWidth="1"/>
    <col min="61" max="61" width="15.36328125" style="106" customWidth="1"/>
    <col min="62" max="62" width="7.6328125" style="106" bestFit="1" customWidth="1"/>
    <col min="63" max="63" width="14.6328125" style="106" bestFit="1" customWidth="1"/>
    <col min="64" max="64" width="9.36328125" style="106" bestFit="1" customWidth="1"/>
    <col min="65" max="65" width="7.6328125" style="106" bestFit="1" customWidth="1"/>
    <col min="66" max="66" width="13.453125" style="106" bestFit="1" customWidth="1"/>
    <col min="67" max="67" width="9.36328125" style="106" bestFit="1" customWidth="1"/>
    <col min="68" max="68" width="7.6328125" style="106" bestFit="1" customWidth="1"/>
    <col min="69" max="69" width="13.6328125" style="106" bestFit="1" customWidth="1"/>
    <col min="70" max="70" width="9.36328125" style="106" bestFit="1" customWidth="1"/>
    <col min="71" max="71" width="7.6328125" style="106" bestFit="1" customWidth="1"/>
    <col min="72" max="72" width="14.6328125" style="106" bestFit="1" customWidth="1"/>
    <col min="73" max="73" width="9.36328125" style="106" bestFit="1" customWidth="1"/>
    <col min="74" max="74" width="7.6328125" style="106" bestFit="1" customWidth="1"/>
    <col min="75" max="75" width="14" style="106" bestFit="1" customWidth="1"/>
    <col min="76" max="76" width="9.36328125" style="106" bestFit="1" customWidth="1"/>
    <col min="77" max="77" width="7.6328125" style="106" bestFit="1" customWidth="1"/>
    <col min="78" max="78" width="12.36328125" style="106" bestFit="1" customWidth="1"/>
    <col min="79" max="79" width="9.36328125" style="106" bestFit="1" customWidth="1"/>
    <col min="80" max="80" width="7.6328125" style="106" bestFit="1" customWidth="1"/>
    <col min="81" max="81" width="14" style="106" bestFit="1" customWidth="1"/>
    <col min="82" max="82" width="9.36328125" style="106" bestFit="1" customWidth="1"/>
    <col min="83" max="83" width="7.6328125" style="106" bestFit="1" customWidth="1"/>
    <col min="84" max="84" width="14" style="106" bestFit="1" customWidth="1"/>
    <col min="85" max="85" width="9.36328125" style="106" bestFit="1" customWidth="1"/>
    <col min="86" max="86" width="7.6328125" style="106" bestFit="1" customWidth="1"/>
    <col min="87" max="87" width="13.6328125" style="106" bestFit="1" customWidth="1"/>
    <col min="88" max="88" width="9.36328125" style="106" bestFit="1" customWidth="1"/>
    <col min="89" max="89" width="7.6328125" style="106" bestFit="1" customWidth="1"/>
    <col min="90" max="90" width="14" style="106" bestFit="1" customWidth="1"/>
    <col min="91" max="91" width="9.36328125" style="106" bestFit="1" customWidth="1"/>
    <col min="92" max="16384" width="8.6328125" style="106"/>
  </cols>
  <sheetData>
    <row r="1" spans="1:91" ht="14.75" customHeight="1">
      <c r="A1" s="318" t="s">
        <v>333</v>
      </c>
      <c r="B1" s="318"/>
      <c r="C1" s="318"/>
      <c r="D1" s="318"/>
      <c r="E1" s="318"/>
      <c r="F1" s="318"/>
      <c r="G1" s="318"/>
      <c r="H1" s="318"/>
      <c r="I1" s="318"/>
      <c r="J1" s="318"/>
      <c r="K1" s="318"/>
      <c r="L1" s="318"/>
      <c r="M1" s="318"/>
      <c r="N1" s="318"/>
      <c r="O1" s="318"/>
      <c r="P1" s="318"/>
      <c r="Q1" s="318"/>
      <c r="R1" s="318"/>
      <c r="S1" s="318"/>
      <c r="T1" s="318"/>
      <c r="U1" s="318"/>
      <c r="V1" s="318"/>
      <c r="W1" s="318"/>
      <c r="X1" s="318"/>
      <c r="Y1" s="318"/>
      <c r="Z1" s="318"/>
      <c r="AA1" s="318"/>
      <c r="AB1" s="318"/>
      <c r="AC1" s="318"/>
      <c r="AD1" s="318"/>
      <c r="AE1" s="318"/>
      <c r="AF1" s="318"/>
      <c r="AG1" s="318"/>
      <c r="AH1" s="318"/>
      <c r="AI1" s="318"/>
      <c r="AJ1" s="318"/>
      <c r="AK1" s="318"/>
      <c r="AL1" s="318"/>
      <c r="AM1" s="318"/>
      <c r="AN1" s="318"/>
      <c r="AO1" s="318"/>
      <c r="AP1" s="318"/>
      <c r="AQ1" s="318"/>
      <c r="AR1" s="318"/>
      <c r="AS1" s="318"/>
      <c r="AT1" s="318"/>
      <c r="AU1" s="318"/>
      <c r="AV1" s="318"/>
      <c r="AW1" s="318"/>
      <c r="AX1" s="318"/>
      <c r="AY1" s="318"/>
      <c r="AZ1" s="318"/>
      <c r="BA1" s="318"/>
      <c r="BB1" s="318"/>
      <c r="BC1" s="318"/>
      <c r="BD1" s="318"/>
      <c r="BE1" s="318"/>
      <c r="BF1" s="318"/>
      <c r="BG1" s="318"/>
      <c r="BH1" s="318"/>
      <c r="BI1" s="318"/>
      <c r="BJ1" s="318"/>
      <c r="BK1" s="318"/>
      <c r="BL1" s="318"/>
      <c r="BM1" s="318"/>
      <c r="BN1" s="318"/>
      <c r="BO1" s="318"/>
      <c r="BP1" s="318"/>
      <c r="BQ1" s="318"/>
      <c r="BR1" s="318"/>
      <c r="BS1" s="318"/>
      <c r="BT1" s="318"/>
      <c r="BU1" s="318"/>
      <c r="BV1" s="318"/>
      <c r="BW1" s="318"/>
      <c r="BX1" s="318"/>
      <c r="BY1" s="318"/>
      <c r="BZ1" s="318"/>
      <c r="CA1" s="318"/>
      <c r="CB1" s="318"/>
      <c r="CC1" s="318"/>
      <c r="CD1" s="318"/>
      <c r="CE1" s="318"/>
      <c r="CF1" s="318"/>
      <c r="CG1" s="318"/>
      <c r="CH1" s="318"/>
      <c r="CI1" s="318"/>
      <c r="CJ1" s="318"/>
      <c r="CK1" s="318"/>
      <c r="CL1" s="318"/>
      <c r="CM1" s="318"/>
    </row>
    <row r="2" spans="1:91" ht="14.75" customHeight="1">
      <c r="A2" s="319"/>
      <c r="B2" s="317" t="s">
        <v>423</v>
      </c>
      <c r="C2" s="317"/>
      <c r="D2" s="317"/>
      <c r="E2" s="317"/>
      <c r="F2" s="317"/>
      <c r="G2" s="317"/>
      <c r="H2" s="317"/>
      <c r="I2" s="317"/>
      <c r="J2" s="317"/>
      <c r="K2" s="317"/>
      <c r="L2" s="317"/>
      <c r="M2" s="317"/>
      <c r="N2" s="317"/>
      <c r="O2" s="317"/>
      <c r="P2" s="317"/>
      <c r="Q2" s="317"/>
      <c r="R2" s="317"/>
      <c r="S2" s="317"/>
      <c r="T2" s="317"/>
      <c r="U2" s="317"/>
      <c r="V2" s="317"/>
      <c r="W2" s="317"/>
      <c r="X2" s="317"/>
      <c r="Y2" s="317"/>
      <c r="Z2" s="317"/>
      <c r="AA2" s="317"/>
      <c r="AB2" s="317"/>
      <c r="AC2" s="317"/>
      <c r="AD2" s="317"/>
      <c r="AE2" s="317"/>
      <c r="AF2" s="317"/>
      <c r="AG2" s="317"/>
      <c r="AH2" s="317"/>
      <c r="AI2" s="317"/>
      <c r="AJ2" s="317"/>
      <c r="AK2" s="317"/>
      <c r="AL2" s="317"/>
      <c r="AM2" s="317"/>
      <c r="AN2" s="317"/>
      <c r="AO2" s="317"/>
      <c r="AP2" s="317"/>
      <c r="AQ2" s="317"/>
      <c r="AR2" s="317"/>
      <c r="AS2" s="317"/>
      <c r="AT2" s="317"/>
      <c r="AU2" s="317" t="s">
        <v>424</v>
      </c>
      <c r="AV2" s="317"/>
      <c r="AW2" s="317"/>
      <c r="AX2" s="317"/>
      <c r="AY2" s="317"/>
      <c r="AZ2" s="317"/>
      <c r="BA2" s="317"/>
      <c r="BB2" s="317"/>
      <c r="BC2" s="317"/>
      <c r="BD2" s="317"/>
      <c r="BE2" s="317"/>
      <c r="BF2" s="317"/>
      <c r="BG2" s="317"/>
      <c r="BH2" s="317"/>
      <c r="BI2" s="317"/>
      <c r="BJ2" s="317"/>
      <c r="BK2" s="317"/>
      <c r="BL2" s="317"/>
      <c r="BM2" s="317"/>
      <c r="BN2" s="317"/>
      <c r="BO2" s="317"/>
      <c r="BP2" s="317"/>
      <c r="BQ2" s="317"/>
      <c r="BR2" s="317"/>
      <c r="BS2" s="317"/>
      <c r="BT2" s="317"/>
      <c r="BU2" s="317"/>
      <c r="BV2" s="317"/>
      <c r="BW2" s="317"/>
      <c r="BX2" s="317"/>
      <c r="BY2" s="317"/>
      <c r="BZ2" s="317"/>
      <c r="CA2" s="317"/>
      <c r="CB2" s="317"/>
      <c r="CC2" s="317"/>
      <c r="CD2" s="317"/>
      <c r="CE2" s="317"/>
      <c r="CF2" s="317"/>
      <c r="CG2" s="317"/>
      <c r="CH2" s="317"/>
      <c r="CI2" s="317"/>
      <c r="CJ2" s="317"/>
      <c r="CK2" s="317"/>
      <c r="CL2" s="317"/>
      <c r="CM2" s="317"/>
    </row>
    <row r="3" spans="1:91" ht="14.75" customHeight="1">
      <c r="A3" s="319"/>
      <c r="B3" s="317" t="s">
        <v>425</v>
      </c>
      <c r="C3" s="317"/>
      <c r="D3" s="317"/>
      <c r="E3" s="317"/>
      <c r="F3" s="317"/>
      <c r="G3" s="317"/>
      <c r="H3" s="317"/>
      <c r="I3" s="317"/>
      <c r="J3" s="317"/>
      <c r="K3" s="317" t="s">
        <v>426</v>
      </c>
      <c r="L3" s="317"/>
      <c r="M3" s="317"/>
      <c r="N3" s="317"/>
      <c r="O3" s="317"/>
      <c r="P3" s="317"/>
      <c r="Q3" s="317"/>
      <c r="R3" s="317"/>
      <c r="S3" s="317"/>
      <c r="T3" s="317" t="s">
        <v>427</v>
      </c>
      <c r="U3" s="317"/>
      <c r="V3" s="317"/>
      <c r="W3" s="317"/>
      <c r="X3" s="317"/>
      <c r="Y3" s="317"/>
      <c r="Z3" s="317"/>
      <c r="AA3" s="317"/>
      <c r="AB3" s="317"/>
      <c r="AC3" s="317" t="s">
        <v>428</v>
      </c>
      <c r="AD3" s="317"/>
      <c r="AE3" s="317"/>
      <c r="AF3" s="317"/>
      <c r="AG3" s="317"/>
      <c r="AH3" s="317"/>
      <c r="AI3" s="317"/>
      <c r="AJ3" s="317"/>
      <c r="AK3" s="317"/>
      <c r="AL3" s="317" t="s">
        <v>429</v>
      </c>
      <c r="AM3" s="317"/>
      <c r="AN3" s="317"/>
      <c r="AO3" s="317"/>
      <c r="AP3" s="317"/>
      <c r="AQ3" s="317"/>
      <c r="AR3" s="317"/>
      <c r="AS3" s="317"/>
      <c r="AT3" s="317"/>
      <c r="AU3" s="317" t="s">
        <v>425</v>
      </c>
      <c r="AV3" s="317"/>
      <c r="AW3" s="317"/>
      <c r="AX3" s="317"/>
      <c r="AY3" s="317"/>
      <c r="AZ3" s="317"/>
      <c r="BA3" s="317"/>
      <c r="BB3" s="317"/>
      <c r="BC3" s="317"/>
      <c r="BD3" s="317" t="s">
        <v>426</v>
      </c>
      <c r="BE3" s="317"/>
      <c r="BF3" s="317"/>
      <c r="BG3" s="317"/>
      <c r="BH3" s="317"/>
      <c r="BI3" s="317"/>
      <c r="BJ3" s="317"/>
      <c r="BK3" s="317"/>
      <c r="BL3" s="317"/>
      <c r="BM3" s="317" t="s">
        <v>427</v>
      </c>
      <c r="BN3" s="317"/>
      <c r="BO3" s="317"/>
      <c r="BP3" s="317"/>
      <c r="BQ3" s="317"/>
      <c r="BR3" s="317"/>
      <c r="BS3" s="317"/>
      <c r="BT3" s="317"/>
      <c r="BU3" s="317"/>
      <c r="BV3" s="317" t="s">
        <v>428</v>
      </c>
      <c r="BW3" s="317"/>
      <c r="BX3" s="317"/>
      <c r="BY3" s="317"/>
      <c r="BZ3" s="317"/>
      <c r="CA3" s="317"/>
      <c r="CB3" s="317"/>
      <c r="CC3" s="317"/>
      <c r="CD3" s="317"/>
      <c r="CE3" s="317" t="s">
        <v>429</v>
      </c>
      <c r="CF3" s="317"/>
      <c r="CG3" s="317"/>
      <c r="CH3" s="317"/>
      <c r="CI3" s="317"/>
      <c r="CJ3" s="317"/>
      <c r="CK3" s="317"/>
      <c r="CL3" s="317"/>
      <c r="CM3" s="317"/>
    </row>
    <row r="4" spans="1:91" ht="14.75" customHeight="1">
      <c r="A4" s="319"/>
      <c r="B4" s="317" t="s">
        <v>430</v>
      </c>
      <c r="C4" s="317"/>
      <c r="D4" s="317"/>
      <c r="E4" s="317" t="s">
        <v>431</v>
      </c>
      <c r="F4" s="317"/>
      <c r="G4" s="317"/>
      <c r="H4" s="317" t="s">
        <v>432</v>
      </c>
      <c r="I4" s="317"/>
      <c r="J4" s="317"/>
      <c r="K4" s="317" t="s">
        <v>430</v>
      </c>
      <c r="L4" s="317"/>
      <c r="M4" s="317"/>
      <c r="N4" s="317" t="s">
        <v>431</v>
      </c>
      <c r="O4" s="317"/>
      <c r="P4" s="317"/>
      <c r="Q4" s="317" t="s">
        <v>432</v>
      </c>
      <c r="R4" s="317"/>
      <c r="S4" s="317"/>
      <c r="T4" s="317" t="s">
        <v>430</v>
      </c>
      <c r="U4" s="317"/>
      <c r="V4" s="317"/>
      <c r="W4" s="317" t="s">
        <v>431</v>
      </c>
      <c r="X4" s="317"/>
      <c r="Y4" s="317"/>
      <c r="Z4" s="317" t="s">
        <v>432</v>
      </c>
      <c r="AA4" s="317"/>
      <c r="AB4" s="317"/>
      <c r="AC4" s="317" t="s">
        <v>430</v>
      </c>
      <c r="AD4" s="317"/>
      <c r="AE4" s="317"/>
      <c r="AF4" s="317" t="s">
        <v>431</v>
      </c>
      <c r="AG4" s="317"/>
      <c r="AH4" s="317"/>
      <c r="AI4" s="317" t="s">
        <v>432</v>
      </c>
      <c r="AJ4" s="317"/>
      <c r="AK4" s="317"/>
      <c r="AL4" s="317" t="s">
        <v>430</v>
      </c>
      <c r="AM4" s="317"/>
      <c r="AN4" s="317"/>
      <c r="AO4" s="317" t="s">
        <v>431</v>
      </c>
      <c r="AP4" s="317"/>
      <c r="AQ4" s="317"/>
      <c r="AR4" s="317" t="s">
        <v>432</v>
      </c>
      <c r="AS4" s="317"/>
      <c r="AT4" s="317"/>
      <c r="AU4" s="317" t="s">
        <v>430</v>
      </c>
      <c r="AV4" s="317"/>
      <c r="AW4" s="317"/>
      <c r="AX4" s="317" t="s">
        <v>431</v>
      </c>
      <c r="AY4" s="317"/>
      <c r="AZ4" s="317"/>
      <c r="BA4" s="317" t="s">
        <v>432</v>
      </c>
      <c r="BB4" s="317"/>
      <c r="BC4" s="317"/>
      <c r="BD4" s="317" t="s">
        <v>430</v>
      </c>
      <c r="BE4" s="317"/>
      <c r="BF4" s="317"/>
      <c r="BG4" s="317" t="s">
        <v>431</v>
      </c>
      <c r="BH4" s="317"/>
      <c r="BI4" s="317"/>
      <c r="BJ4" s="317" t="s">
        <v>432</v>
      </c>
      <c r="BK4" s="317"/>
      <c r="BL4" s="317"/>
      <c r="BM4" s="317" t="s">
        <v>430</v>
      </c>
      <c r="BN4" s="317"/>
      <c r="BO4" s="317"/>
      <c r="BP4" s="317" t="s">
        <v>431</v>
      </c>
      <c r="BQ4" s="317"/>
      <c r="BR4" s="317"/>
      <c r="BS4" s="317" t="s">
        <v>432</v>
      </c>
      <c r="BT4" s="317"/>
      <c r="BU4" s="317"/>
      <c r="BV4" s="317" t="s">
        <v>430</v>
      </c>
      <c r="BW4" s="317"/>
      <c r="BX4" s="317"/>
      <c r="BY4" s="317" t="s">
        <v>431</v>
      </c>
      <c r="BZ4" s="317"/>
      <c r="CA4" s="317"/>
      <c r="CB4" s="317" t="s">
        <v>432</v>
      </c>
      <c r="CC4" s="317"/>
      <c r="CD4" s="317"/>
      <c r="CE4" s="317" t="s">
        <v>430</v>
      </c>
      <c r="CF4" s="317"/>
      <c r="CG4" s="317"/>
      <c r="CH4" s="317" t="s">
        <v>431</v>
      </c>
      <c r="CI4" s="317"/>
      <c r="CJ4" s="317"/>
      <c r="CK4" s="317" t="s">
        <v>432</v>
      </c>
      <c r="CL4" s="317"/>
      <c r="CM4" s="317"/>
    </row>
    <row r="5" spans="1:91" ht="14.75" customHeight="1">
      <c r="A5" s="319"/>
      <c r="B5" s="317" t="s">
        <v>433</v>
      </c>
      <c r="C5" s="317"/>
      <c r="D5" s="317"/>
      <c r="E5" s="317" t="s">
        <v>433</v>
      </c>
      <c r="F5" s="317"/>
      <c r="G5" s="317"/>
      <c r="H5" s="317" t="s">
        <v>433</v>
      </c>
      <c r="I5" s="317"/>
      <c r="J5" s="317"/>
      <c r="K5" s="317" t="s">
        <v>433</v>
      </c>
      <c r="L5" s="317"/>
      <c r="M5" s="317"/>
      <c r="N5" s="317" t="s">
        <v>433</v>
      </c>
      <c r="O5" s="317"/>
      <c r="P5" s="317"/>
      <c r="Q5" s="317" t="s">
        <v>433</v>
      </c>
      <c r="R5" s="317"/>
      <c r="S5" s="317"/>
      <c r="T5" s="317" t="s">
        <v>433</v>
      </c>
      <c r="U5" s="317"/>
      <c r="V5" s="317"/>
      <c r="W5" s="317" t="s">
        <v>433</v>
      </c>
      <c r="X5" s="317"/>
      <c r="Y5" s="317"/>
      <c r="Z5" s="317" t="s">
        <v>433</v>
      </c>
      <c r="AA5" s="317"/>
      <c r="AB5" s="317"/>
      <c r="AC5" s="317" t="s">
        <v>433</v>
      </c>
      <c r="AD5" s="317"/>
      <c r="AE5" s="317"/>
      <c r="AF5" s="317" t="s">
        <v>433</v>
      </c>
      <c r="AG5" s="317"/>
      <c r="AH5" s="317"/>
      <c r="AI5" s="317" t="s">
        <v>433</v>
      </c>
      <c r="AJ5" s="317"/>
      <c r="AK5" s="317"/>
      <c r="AL5" s="317" t="s">
        <v>433</v>
      </c>
      <c r="AM5" s="317"/>
      <c r="AN5" s="317"/>
      <c r="AO5" s="317" t="s">
        <v>433</v>
      </c>
      <c r="AP5" s="317"/>
      <c r="AQ5" s="317"/>
      <c r="AR5" s="317" t="s">
        <v>433</v>
      </c>
      <c r="AS5" s="317"/>
      <c r="AT5" s="317"/>
      <c r="AU5" s="317" t="s">
        <v>433</v>
      </c>
      <c r="AV5" s="317"/>
      <c r="AW5" s="317"/>
      <c r="AX5" s="317" t="s">
        <v>433</v>
      </c>
      <c r="AY5" s="317"/>
      <c r="AZ5" s="317"/>
      <c r="BA5" s="317" t="s">
        <v>433</v>
      </c>
      <c r="BB5" s="317"/>
      <c r="BC5" s="317"/>
      <c r="BD5" s="317" t="s">
        <v>433</v>
      </c>
      <c r="BE5" s="317"/>
      <c r="BF5" s="317"/>
      <c r="BG5" s="317" t="s">
        <v>433</v>
      </c>
      <c r="BH5" s="317"/>
      <c r="BI5" s="317"/>
      <c r="BJ5" s="317" t="s">
        <v>433</v>
      </c>
      <c r="BK5" s="317"/>
      <c r="BL5" s="317"/>
      <c r="BM5" s="317" t="s">
        <v>433</v>
      </c>
      <c r="BN5" s="317"/>
      <c r="BO5" s="317"/>
      <c r="BP5" s="317" t="s">
        <v>433</v>
      </c>
      <c r="BQ5" s="317"/>
      <c r="BR5" s="317"/>
      <c r="BS5" s="317" t="s">
        <v>433</v>
      </c>
      <c r="BT5" s="317"/>
      <c r="BU5" s="317"/>
      <c r="BV5" s="317" t="s">
        <v>433</v>
      </c>
      <c r="BW5" s="317"/>
      <c r="BX5" s="317"/>
      <c r="BY5" s="317" t="s">
        <v>433</v>
      </c>
      <c r="BZ5" s="317"/>
      <c r="CA5" s="317"/>
      <c r="CB5" s="317" t="s">
        <v>433</v>
      </c>
      <c r="CC5" s="317"/>
      <c r="CD5" s="317"/>
      <c r="CE5" s="317" t="s">
        <v>433</v>
      </c>
      <c r="CF5" s="317"/>
      <c r="CG5" s="317"/>
      <c r="CH5" s="317" t="s">
        <v>433</v>
      </c>
      <c r="CI5" s="317"/>
      <c r="CJ5" s="317"/>
      <c r="CK5" s="317" t="s">
        <v>433</v>
      </c>
      <c r="CL5" s="317"/>
      <c r="CM5" s="317"/>
    </row>
    <row r="6" spans="1:91" ht="29">
      <c r="A6" s="319"/>
      <c r="B6" s="107" t="s">
        <v>434</v>
      </c>
      <c r="C6" s="107" t="s">
        <v>435</v>
      </c>
      <c r="D6" s="107" t="s">
        <v>436</v>
      </c>
      <c r="E6" s="107" t="s">
        <v>434</v>
      </c>
      <c r="F6" s="107" t="s">
        <v>435</v>
      </c>
      <c r="G6" s="107" t="s">
        <v>436</v>
      </c>
      <c r="H6" s="107" t="s">
        <v>434</v>
      </c>
      <c r="I6" s="107" t="s">
        <v>435</v>
      </c>
      <c r="J6" s="107" t="s">
        <v>436</v>
      </c>
      <c r="K6" s="107" t="s">
        <v>434</v>
      </c>
      <c r="L6" s="107" t="s">
        <v>435</v>
      </c>
      <c r="M6" s="107" t="s">
        <v>436</v>
      </c>
      <c r="N6" s="107" t="s">
        <v>434</v>
      </c>
      <c r="O6" s="107" t="s">
        <v>435</v>
      </c>
      <c r="P6" s="107" t="s">
        <v>436</v>
      </c>
      <c r="Q6" s="107" t="s">
        <v>434</v>
      </c>
      <c r="R6" s="107" t="s">
        <v>435</v>
      </c>
      <c r="S6" s="107" t="s">
        <v>436</v>
      </c>
      <c r="T6" s="107" t="s">
        <v>434</v>
      </c>
      <c r="U6" s="107" t="s">
        <v>435</v>
      </c>
      <c r="V6" s="107" t="s">
        <v>436</v>
      </c>
      <c r="W6" s="107" t="s">
        <v>434</v>
      </c>
      <c r="X6" s="107" t="s">
        <v>435</v>
      </c>
      <c r="Y6" s="107" t="s">
        <v>436</v>
      </c>
      <c r="Z6" s="107" t="s">
        <v>434</v>
      </c>
      <c r="AA6" s="107" t="s">
        <v>435</v>
      </c>
      <c r="AB6" s="107" t="s">
        <v>436</v>
      </c>
      <c r="AC6" s="107" t="s">
        <v>434</v>
      </c>
      <c r="AD6" s="107" t="s">
        <v>435</v>
      </c>
      <c r="AE6" s="107" t="s">
        <v>436</v>
      </c>
      <c r="AF6" s="107" t="s">
        <v>434</v>
      </c>
      <c r="AG6" s="107" t="s">
        <v>435</v>
      </c>
      <c r="AH6" s="107" t="s">
        <v>436</v>
      </c>
      <c r="AI6" s="107" t="s">
        <v>434</v>
      </c>
      <c r="AJ6" s="107" t="s">
        <v>435</v>
      </c>
      <c r="AK6" s="107" t="s">
        <v>436</v>
      </c>
      <c r="AL6" s="107" t="s">
        <v>434</v>
      </c>
      <c r="AM6" s="107" t="s">
        <v>435</v>
      </c>
      <c r="AN6" s="107" t="s">
        <v>436</v>
      </c>
      <c r="AO6" s="107" t="s">
        <v>434</v>
      </c>
      <c r="AP6" s="107" t="s">
        <v>435</v>
      </c>
      <c r="AQ6" s="107" t="s">
        <v>436</v>
      </c>
      <c r="AR6" s="107" t="s">
        <v>434</v>
      </c>
      <c r="AS6" s="107" t="s">
        <v>435</v>
      </c>
      <c r="AT6" s="107" t="s">
        <v>436</v>
      </c>
      <c r="AU6" s="107" t="s">
        <v>434</v>
      </c>
      <c r="AV6" s="107" t="s">
        <v>435</v>
      </c>
      <c r="AW6" s="107" t="s">
        <v>436</v>
      </c>
      <c r="AX6" s="107" t="s">
        <v>434</v>
      </c>
      <c r="AY6" s="107" t="s">
        <v>435</v>
      </c>
      <c r="AZ6" s="107" t="s">
        <v>436</v>
      </c>
      <c r="BA6" s="107" t="s">
        <v>434</v>
      </c>
      <c r="BB6" s="107" t="s">
        <v>435</v>
      </c>
      <c r="BC6" s="107" t="s">
        <v>436</v>
      </c>
      <c r="BD6" s="107" t="s">
        <v>434</v>
      </c>
      <c r="BE6" s="107" t="s">
        <v>435</v>
      </c>
      <c r="BF6" s="107" t="s">
        <v>436</v>
      </c>
      <c r="BG6" s="107" t="s">
        <v>434</v>
      </c>
      <c r="BH6" s="107" t="s">
        <v>435</v>
      </c>
      <c r="BI6" s="107" t="s">
        <v>436</v>
      </c>
      <c r="BJ6" s="107" t="s">
        <v>434</v>
      </c>
      <c r="BK6" s="107" t="s">
        <v>435</v>
      </c>
      <c r="BL6" s="107" t="s">
        <v>436</v>
      </c>
      <c r="BM6" s="107" t="s">
        <v>434</v>
      </c>
      <c r="BN6" s="107" t="s">
        <v>435</v>
      </c>
      <c r="BO6" s="107" t="s">
        <v>436</v>
      </c>
      <c r="BP6" s="107" t="s">
        <v>434</v>
      </c>
      <c r="BQ6" s="107" t="s">
        <v>435</v>
      </c>
      <c r="BR6" s="107" t="s">
        <v>436</v>
      </c>
      <c r="BS6" s="107" t="s">
        <v>434</v>
      </c>
      <c r="BT6" s="107" t="s">
        <v>435</v>
      </c>
      <c r="BU6" s="107" t="s">
        <v>436</v>
      </c>
      <c r="BV6" s="107" t="s">
        <v>434</v>
      </c>
      <c r="BW6" s="107" t="s">
        <v>435</v>
      </c>
      <c r="BX6" s="107" t="s">
        <v>436</v>
      </c>
      <c r="BY6" s="107" t="s">
        <v>434</v>
      </c>
      <c r="BZ6" s="107" t="s">
        <v>435</v>
      </c>
      <c r="CA6" s="107" t="s">
        <v>436</v>
      </c>
      <c r="CB6" s="107" t="s">
        <v>434</v>
      </c>
      <c r="CC6" s="107" t="s">
        <v>435</v>
      </c>
      <c r="CD6" s="107" t="s">
        <v>436</v>
      </c>
      <c r="CE6" s="107" t="s">
        <v>434</v>
      </c>
      <c r="CF6" s="107" t="s">
        <v>435</v>
      </c>
      <c r="CG6" s="107" t="s">
        <v>436</v>
      </c>
      <c r="CH6" s="107" t="s">
        <v>434</v>
      </c>
      <c r="CI6" s="107" t="s">
        <v>435</v>
      </c>
      <c r="CJ6" s="107" t="s">
        <v>436</v>
      </c>
      <c r="CK6" s="107" t="s">
        <v>434</v>
      </c>
      <c r="CL6" s="107" t="s">
        <v>435</v>
      </c>
      <c r="CM6" s="107" t="s">
        <v>436</v>
      </c>
    </row>
    <row r="7" spans="1:91">
      <c r="A7" s="108" t="s">
        <v>437</v>
      </c>
      <c r="B7" s="106" t="s">
        <v>438</v>
      </c>
      <c r="C7" s="106" t="s">
        <v>438</v>
      </c>
      <c r="D7" s="106" t="s">
        <v>438</v>
      </c>
      <c r="E7" s="106" t="s">
        <v>438</v>
      </c>
      <c r="F7" s="106" t="s">
        <v>438</v>
      </c>
      <c r="G7" s="106" t="s">
        <v>438</v>
      </c>
      <c r="H7" s="106" t="s">
        <v>438</v>
      </c>
      <c r="I7" s="106" t="s">
        <v>438</v>
      </c>
      <c r="J7" s="106" t="s">
        <v>438</v>
      </c>
      <c r="K7" s="106" t="s">
        <v>438</v>
      </c>
      <c r="L7" s="106" t="s">
        <v>438</v>
      </c>
      <c r="M7" s="106" t="s">
        <v>438</v>
      </c>
      <c r="N7" s="106" t="s">
        <v>438</v>
      </c>
      <c r="O7" s="106" t="s">
        <v>438</v>
      </c>
      <c r="P7" s="106" t="s">
        <v>438</v>
      </c>
      <c r="Q7" s="106" t="s">
        <v>438</v>
      </c>
      <c r="R7" s="106" t="s">
        <v>438</v>
      </c>
      <c r="S7" s="106" t="s">
        <v>438</v>
      </c>
      <c r="T7" s="106" t="s">
        <v>438</v>
      </c>
      <c r="U7" s="106" t="s">
        <v>438</v>
      </c>
      <c r="V7" s="106" t="s">
        <v>438</v>
      </c>
      <c r="W7" s="106" t="s">
        <v>438</v>
      </c>
      <c r="X7" s="106" t="s">
        <v>438</v>
      </c>
      <c r="Y7" s="106" t="s">
        <v>438</v>
      </c>
      <c r="Z7" s="106" t="s">
        <v>438</v>
      </c>
      <c r="AA7" s="106" t="s">
        <v>438</v>
      </c>
      <c r="AB7" s="106" t="s">
        <v>438</v>
      </c>
      <c r="AC7" s="106" t="s">
        <v>438</v>
      </c>
      <c r="AD7" s="106" t="s">
        <v>438</v>
      </c>
      <c r="AE7" s="106" t="s">
        <v>438</v>
      </c>
      <c r="AF7" s="106" t="s">
        <v>438</v>
      </c>
      <c r="AG7" s="106" t="s">
        <v>438</v>
      </c>
      <c r="AH7" s="106" t="s">
        <v>438</v>
      </c>
      <c r="AI7" s="106" t="s">
        <v>438</v>
      </c>
      <c r="AJ7" s="106" t="s">
        <v>438</v>
      </c>
      <c r="AK7" s="106" t="s">
        <v>438</v>
      </c>
      <c r="AL7" s="106" t="s">
        <v>438</v>
      </c>
      <c r="AM7" s="106" t="s">
        <v>438</v>
      </c>
      <c r="AN7" s="106" t="s">
        <v>438</v>
      </c>
      <c r="AO7" s="106" t="s">
        <v>438</v>
      </c>
      <c r="AP7" s="106" t="s">
        <v>438</v>
      </c>
      <c r="AQ7" s="106" t="s">
        <v>438</v>
      </c>
      <c r="AR7" s="106" t="s">
        <v>438</v>
      </c>
      <c r="AS7" s="106" t="s">
        <v>438</v>
      </c>
      <c r="AT7" s="106" t="s">
        <v>438</v>
      </c>
      <c r="AU7" s="106" t="s">
        <v>438</v>
      </c>
      <c r="AV7" s="106" t="s">
        <v>438</v>
      </c>
      <c r="AW7" s="106" t="s">
        <v>438</v>
      </c>
      <c r="AX7" s="106" t="s">
        <v>438</v>
      </c>
      <c r="AY7" s="106" t="s">
        <v>438</v>
      </c>
      <c r="AZ7" s="106" t="s">
        <v>438</v>
      </c>
      <c r="BA7" s="106" t="s">
        <v>438</v>
      </c>
      <c r="BB7" s="109">
        <v>393156000</v>
      </c>
      <c r="BC7" s="106" t="s">
        <v>438</v>
      </c>
      <c r="BD7" s="109">
        <v>24198</v>
      </c>
      <c r="BE7" s="106" t="s">
        <v>438</v>
      </c>
      <c r="BF7" s="106" t="s">
        <v>438</v>
      </c>
      <c r="BG7" s="106" t="s">
        <v>438</v>
      </c>
      <c r="BH7" s="106" t="s">
        <v>438</v>
      </c>
      <c r="BI7" s="106" t="s">
        <v>438</v>
      </c>
      <c r="BJ7" s="106" t="s">
        <v>438</v>
      </c>
      <c r="BK7" s="109">
        <v>202146000</v>
      </c>
      <c r="BL7" s="106" t="s">
        <v>438</v>
      </c>
      <c r="BM7" s="106" t="s">
        <v>438</v>
      </c>
      <c r="BN7" s="106" t="s">
        <v>438</v>
      </c>
      <c r="BO7" s="106" t="s">
        <v>438</v>
      </c>
      <c r="BP7" s="106" t="s">
        <v>438</v>
      </c>
      <c r="BQ7" s="106" t="s">
        <v>438</v>
      </c>
      <c r="BR7" s="106" t="s">
        <v>438</v>
      </c>
      <c r="BS7" s="106" t="s">
        <v>438</v>
      </c>
      <c r="BT7" s="106" t="s">
        <v>438</v>
      </c>
      <c r="BU7" s="106" t="s">
        <v>438</v>
      </c>
      <c r="BV7" s="106" t="s">
        <v>438</v>
      </c>
      <c r="BW7" s="106" t="s">
        <v>438</v>
      </c>
      <c r="BX7" s="106" t="s">
        <v>438</v>
      </c>
      <c r="BY7" s="106" t="s">
        <v>438</v>
      </c>
      <c r="BZ7" s="106" t="s">
        <v>438</v>
      </c>
      <c r="CA7" s="106" t="s">
        <v>438</v>
      </c>
      <c r="CB7" s="106" t="s">
        <v>438</v>
      </c>
      <c r="CC7" s="106" t="s">
        <v>438</v>
      </c>
      <c r="CD7" s="106" t="s">
        <v>438</v>
      </c>
      <c r="CE7" s="106" t="s">
        <v>438</v>
      </c>
      <c r="CF7" s="106" t="s">
        <v>438</v>
      </c>
      <c r="CG7" s="106" t="s">
        <v>438</v>
      </c>
      <c r="CH7" s="106" t="s">
        <v>438</v>
      </c>
      <c r="CI7" s="106" t="s">
        <v>438</v>
      </c>
      <c r="CJ7" s="106" t="s">
        <v>438</v>
      </c>
      <c r="CK7" s="106" t="s">
        <v>438</v>
      </c>
      <c r="CL7" s="109">
        <v>191012000</v>
      </c>
      <c r="CM7" s="106" t="s">
        <v>438</v>
      </c>
    </row>
    <row r="8" spans="1:91">
      <c r="A8" s="108" t="s">
        <v>439</v>
      </c>
      <c r="B8" s="106" t="s">
        <v>438</v>
      </c>
      <c r="C8" s="106" t="s">
        <v>438</v>
      </c>
      <c r="D8" s="106" t="s">
        <v>438</v>
      </c>
      <c r="E8" s="106" t="s">
        <v>438</v>
      </c>
      <c r="F8" s="106" t="s">
        <v>438</v>
      </c>
      <c r="G8" s="106" t="s">
        <v>438</v>
      </c>
      <c r="H8" s="106" t="s">
        <v>438</v>
      </c>
      <c r="I8" s="106" t="s">
        <v>438</v>
      </c>
      <c r="J8" s="106" t="s">
        <v>438</v>
      </c>
      <c r="K8" s="106" t="s">
        <v>438</v>
      </c>
      <c r="L8" s="106" t="s">
        <v>438</v>
      </c>
      <c r="M8" s="106" t="s">
        <v>438</v>
      </c>
      <c r="N8" s="106" t="s">
        <v>438</v>
      </c>
      <c r="O8" s="106" t="s">
        <v>438</v>
      </c>
      <c r="P8" s="106" t="s">
        <v>438</v>
      </c>
      <c r="Q8" s="106" t="s">
        <v>438</v>
      </c>
      <c r="R8" s="106" t="s">
        <v>438</v>
      </c>
      <c r="S8" s="106" t="s">
        <v>438</v>
      </c>
      <c r="T8" s="106" t="s">
        <v>438</v>
      </c>
      <c r="U8" s="106" t="s">
        <v>438</v>
      </c>
      <c r="V8" s="106" t="s">
        <v>438</v>
      </c>
      <c r="W8" s="106" t="s">
        <v>438</v>
      </c>
      <c r="X8" s="106" t="s">
        <v>438</v>
      </c>
      <c r="Y8" s="106" t="s">
        <v>438</v>
      </c>
      <c r="Z8" s="106" t="s">
        <v>438</v>
      </c>
      <c r="AA8" s="106" t="s">
        <v>438</v>
      </c>
      <c r="AB8" s="106" t="s">
        <v>438</v>
      </c>
      <c r="AC8" s="106" t="s">
        <v>438</v>
      </c>
      <c r="AD8" s="106" t="s">
        <v>438</v>
      </c>
      <c r="AE8" s="106" t="s">
        <v>438</v>
      </c>
      <c r="AF8" s="106" t="s">
        <v>438</v>
      </c>
      <c r="AG8" s="106" t="s">
        <v>438</v>
      </c>
      <c r="AH8" s="106" t="s">
        <v>438</v>
      </c>
      <c r="AI8" s="106" t="s">
        <v>438</v>
      </c>
      <c r="AJ8" s="106" t="s">
        <v>438</v>
      </c>
      <c r="AK8" s="106" t="s">
        <v>438</v>
      </c>
      <c r="AL8" s="106" t="s">
        <v>438</v>
      </c>
      <c r="AM8" s="106" t="s">
        <v>438</v>
      </c>
      <c r="AN8" s="106" t="s">
        <v>438</v>
      </c>
      <c r="AO8" s="106" t="s">
        <v>438</v>
      </c>
      <c r="AP8" s="106" t="s">
        <v>438</v>
      </c>
      <c r="AQ8" s="106" t="s">
        <v>438</v>
      </c>
      <c r="AR8" s="106" t="s">
        <v>438</v>
      </c>
      <c r="AS8" s="106" t="s">
        <v>438</v>
      </c>
      <c r="AT8" s="106" t="s">
        <v>438</v>
      </c>
      <c r="AU8" s="106" t="s">
        <v>438</v>
      </c>
      <c r="AV8" s="106" t="s">
        <v>438</v>
      </c>
      <c r="AW8" s="106" t="s">
        <v>438</v>
      </c>
      <c r="AX8" s="106" t="s">
        <v>438</v>
      </c>
      <c r="AY8" s="106" t="s">
        <v>438</v>
      </c>
      <c r="AZ8" s="106" t="s">
        <v>438</v>
      </c>
      <c r="BA8" s="106" t="s">
        <v>438</v>
      </c>
      <c r="BB8" s="109">
        <v>332760000</v>
      </c>
      <c r="BC8" s="106" t="s">
        <v>438</v>
      </c>
      <c r="BD8" s="109">
        <v>21862</v>
      </c>
      <c r="BE8" s="106" t="s">
        <v>438</v>
      </c>
      <c r="BF8" s="106" t="s">
        <v>438</v>
      </c>
      <c r="BG8" s="106" t="s">
        <v>438</v>
      </c>
      <c r="BH8" s="106" t="s">
        <v>438</v>
      </c>
      <c r="BI8" s="106" t="s">
        <v>438</v>
      </c>
      <c r="BJ8" s="106" t="s">
        <v>438</v>
      </c>
      <c r="BK8" s="109">
        <v>189421000</v>
      </c>
      <c r="BL8" s="106" t="s">
        <v>438</v>
      </c>
      <c r="BM8" s="106" t="s">
        <v>438</v>
      </c>
      <c r="BN8" s="106" t="s">
        <v>438</v>
      </c>
      <c r="BO8" s="106" t="s">
        <v>438</v>
      </c>
      <c r="BP8" s="106" t="s">
        <v>438</v>
      </c>
      <c r="BQ8" s="106" t="s">
        <v>438</v>
      </c>
      <c r="BR8" s="106" t="s">
        <v>438</v>
      </c>
      <c r="BS8" s="106" t="s">
        <v>438</v>
      </c>
      <c r="BT8" s="106" t="s">
        <v>438</v>
      </c>
      <c r="BU8" s="106" t="s">
        <v>438</v>
      </c>
      <c r="BV8" s="106" t="s">
        <v>438</v>
      </c>
      <c r="BW8" s="106" t="s">
        <v>438</v>
      </c>
      <c r="BX8" s="106" t="s">
        <v>438</v>
      </c>
      <c r="BY8" s="106" t="s">
        <v>438</v>
      </c>
      <c r="BZ8" s="106" t="s">
        <v>438</v>
      </c>
      <c r="CA8" s="106" t="s">
        <v>438</v>
      </c>
      <c r="CB8" s="106" t="s">
        <v>438</v>
      </c>
      <c r="CC8" s="106" t="s">
        <v>438</v>
      </c>
      <c r="CD8" s="106" t="s">
        <v>438</v>
      </c>
      <c r="CE8" s="106" t="s">
        <v>438</v>
      </c>
      <c r="CF8" s="106" t="s">
        <v>438</v>
      </c>
      <c r="CG8" s="106" t="s">
        <v>438</v>
      </c>
      <c r="CH8" s="106" t="s">
        <v>438</v>
      </c>
      <c r="CI8" s="106" t="s">
        <v>438</v>
      </c>
      <c r="CJ8" s="106" t="s">
        <v>438</v>
      </c>
      <c r="CK8" s="106" t="s">
        <v>438</v>
      </c>
      <c r="CL8" s="109">
        <v>143339000</v>
      </c>
      <c r="CM8" s="106" t="s">
        <v>438</v>
      </c>
    </row>
    <row r="9" spans="1:91">
      <c r="A9" s="108" t="s">
        <v>440</v>
      </c>
      <c r="B9" s="106" t="s">
        <v>438</v>
      </c>
      <c r="C9" s="106" t="s">
        <v>438</v>
      </c>
      <c r="D9" s="106" t="s">
        <v>438</v>
      </c>
      <c r="E9" s="106" t="s">
        <v>438</v>
      </c>
      <c r="F9" s="106" t="s">
        <v>438</v>
      </c>
      <c r="G9" s="106" t="s">
        <v>438</v>
      </c>
      <c r="H9" s="106" t="s">
        <v>438</v>
      </c>
      <c r="I9" s="106" t="s">
        <v>438</v>
      </c>
      <c r="J9" s="106" t="s">
        <v>438</v>
      </c>
      <c r="K9" s="106" t="s">
        <v>438</v>
      </c>
      <c r="L9" s="106" t="s">
        <v>438</v>
      </c>
      <c r="M9" s="106" t="s">
        <v>438</v>
      </c>
      <c r="N9" s="106" t="s">
        <v>438</v>
      </c>
      <c r="O9" s="106" t="s">
        <v>438</v>
      </c>
      <c r="P9" s="106" t="s">
        <v>438</v>
      </c>
      <c r="Q9" s="106" t="s">
        <v>438</v>
      </c>
      <c r="R9" s="106" t="s">
        <v>438</v>
      </c>
      <c r="S9" s="106" t="s">
        <v>438</v>
      </c>
      <c r="T9" s="106" t="s">
        <v>438</v>
      </c>
      <c r="U9" s="106" t="s">
        <v>438</v>
      </c>
      <c r="V9" s="106" t="s">
        <v>438</v>
      </c>
      <c r="W9" s="106" t="s">
        <v>438</v>
      </c>
      <c r="X9" s="106" t="s">
        <v>438</v>
      </c>
      <c r="Y9" s="106" t="s">
        <v>438</v>
      </c>
      <c r="Z9" s="106" t="s">
        <v>438</v>
      </c>
      <c r="AA9" s="106" t="s">
        <v>438</v>
      </c>
      <c r="AB9" s="106" t="s">
        <v>438</v>
      </c>
      <c r="AC9" s="106" t="s">
        <v>438</v>
      </c>
      <c r="AD9" s="106" t="s">
        <v>438</v>
      </c>
      <c r="AE9" s="106" t="s">
        <v>438</v>
      </c>
      <c r="AF9" s="106" t="s">
        <v>438</v>
      </c>
      <c r="AG9" s="106" t="s">
        <v>438</v>
      </c>
      <c r="AH9" s="106" t="s">
        <v>438</v>
      </c>
      <c r="AI9" s="106" t="s">
        <v>438</v>
      </c>
      <c r="AJ9" s="106" t="s">
        <v>438</v>
      </c>
      <c r="AK9" s="106" t="s">
        <v>438</v>
      </c>
      <c r="AL9" s="106" t="s">
        <v>438</v>
      </c>
      <c r="AM9" s="106" t="s">
        <v>438</v>
      </c>
      <c r="AN9" s="106" t="s">
        <v>438</v>
      </c>
      <c r="AO9" s="106" t="s">
        <v>438</v>
      </c>
      <c r="AP9" s="106" t="s">
        <v>438</v>
      </c>
      <c r="AQ9" s="106" t="s">
        <v>438</v>
      </c>
      <c r="AR9" s="106" t="s">
        <v>438</v>
      </c>
      <c r="AS9" s="106" t="s">
        <v>438</v>
      </c>
      <c r="AT9" s="106" t="s">
        <v>438</v>
      </c>
      <c r="AU9" s="106" t="s">
        <v>438</v>
      </c>
      <c r="AV9" s="106" t="s">
        <v>438</v>
      </c>
      <c r="AW9" s="106" t="s">
        <v>438</v>
      </c>
      <c r="AX9" s="106" t="s">
        <v>438</v>
      </c>
      <c r="AY9" s="106" t="s">
        <v>438</v>
      </c>
      <c r="AZ9" s="106" t="s">
        <v>438</v>
      </c>
      <c r="BA9" s="106" t="s">
        <v>438</v>
      </c>
      <c r="BB9" s="109">
        <v>369526000</v>
      </c>
      <c r="BC9" s="106" t="s">
        <v>438</v>
      </c>
      <c r="BD9" s="109">
        <v>21852</v>
      </c>
      <c r="BE9" s="106" t="s">
        <v>438</v>
      </c>
      <c r="BF9" s="106" t="s">
        <v>438</v>
      </c>
      <c r="BG9" s="106" t="s">
        <v>438</v>
      </c>
      <c r="BH9" s="106" t="s">
        <v>438</v>
      </c>
      <c r="BI9" s="106" t="s">
        <v>438</v>
      </c>
      <c r="BJ9" s="106" t="s">
        <v>438</v>
      </c>
      <c r="BK9" s="109">
        <v>195262000</v>
      </c>
      <c r="BL9" s="106" t="s">
        <v>438</v>
      </c>
      <c r="BM9" s="106" t="s">
        <v>438</v>
      </c>
      <c r="BN9" s="106" t="s">
        <v>438</v>
      </c>
      <c r="BO9" s="106" t="s">
        <v>438</v>
      </c>
      <c r="BP9" s="106" t="s">
        <v>438</v>
      </c>
      <c r="BQ9" s="106" t="s">
        <v>438</v>
      </c>
      <c r="BR9" s="106" t="s">
        <v>438</v>
      </c>
      <c r="BS9" s="106" t="s">
        <v>438</v>
      </c>
      <c r="BT9" s="106" t="s">
        <v>438</v>
      </c>
      <c r="BU9" s="106" t="s">
        <v>438</v>
      </c>
      <c r="BV9" s="106" t="s">
        <v>438</v>
      </c>
      <c r="BW9" s="106" t="s">
        <v>438</v>
      </c>
      <c r="BX9" s="106" t="s">
        <v>438</v>
      </c>
      <c r="BY9" s="106" t="s">
        <v>438</v>
      </c>
      <c r="BZ9" s="106" t="s">
        <v>438</v>
      </c>
      <c r="CA9" s="106" t="s">
        <v>438</v>
      </c>
      <c r="CB9" s="106" t="s">
        <v>438</v>
      </c>
      <c r="CC9" s="106" t="s">
        <v>438</v>
      </c>
      <c r="CD9" s="106" t="s">
        <v>438</v>
      </c>
      <c r="CE9" s="106" t="s">
        <v>438</v>
      </c>
      <c r="CF9" s="106" t="s">
        <v>438</v>
      </c>
      <c r="CG9" s="106" t="s">
        <v>438</v>
      </c>
      <c r="CH9" s="106" t="s">
        <v>438</v>
      </c>
      <c r="CI9" s="106" t="s">
        <v>438</v>
      </c>
      <c r="CJ9" s="106" t="s">
        <v>438</v>
      </c>
      <c r="CK9" s="106" t="s">
        <v>438</v>
      </c>
      <c r="CL9" s="109">
        <v>174265000</v>
      </c>
      <c r="CM9" s="106" t="s">
        <v>438</v>
      </c>
    </row>
    <row r="10" spans="1:91">
      <c r="A10" s="108" t="s">
        <v>441</v>
      </c>
      <c r="B10" s="106" t="s">
        <v>438</v>
      </c>
      <c r="C10" s="106" t="s">
        <v>438</v>
      </c>
      <c r="D10" s="106" t="s">
        <v>438</v>
      </c>
      <c r="E10" s="106" t="s">
        <v>438</v>
      </c>
      <c r="F10" s="106" t="s">
        <v>438</v>
      </c>
      <c r="G10" s="106" t="s">
        <v>438</v>
      </c>
      <c r="H10" s="106" t="s">
        <v>438</v>
      </c>
      <c r="I10" s="106" t="s">
        <v>438</v>
      </c>
      <c r="J10" s="106" t="s">
        <v>438</v>
      </c>
      <c r="K10" s="106" t="s">
        <v>438</v>
      </c>
      <c r="L10" s="106" t="s">
        <v>438</v>
      </c>
      <c r="M10" s="106" t="s">
        <v>438</v>
      </c>
      <c r="N10" s="106" t="s">
        <v>438</v>
      </c>
      <c r="O10" s="106" t="s">
        <v>438</v>
      </c>
      <c r="P10" s="106" t="s">
        <v>438</v>
      </c>
      <c r="Q10" s="106" t="s">
        <v>438</v>
      </c>
      <c r="R10" s="106" t="s">
        <v>438</v>
      </c>
      <c r="S10" s="106" t="s">
        <v>438</v>
      </c>
      <c r="T10" s="106" t="s">
        <v>438</v>
      </c>
      <c r="U10" s="106" t="s">
        <v>438</v>
      </c>
      <c r="V10" s="106" t="s">
        <v>438</v>
      </c>
      <c r="W10" s="106" t="s">
        <v>438</v>
      </c>
      <c r="X10" s="106" t="s">
        <v>438</v>
      </c>
      <c r="Y10" s="106" t="s">
        <v>438</v>
      </c>
      <c r="Z10" s="106" t="s">
        <v>438</v>
      </c>
      <c r="AA10" s="106" t="s">
        <v>438</v>
      </c>
      <c r="AB10" s="106" t="s">
        <v>438</v>
      </c>
      <c r="AC10" s="106" t="s">
        <v>438</v>
      </c>
      <c r="AD10" s="106" t="s">
        <v>438</v>
      </c>
      <c r="AE10" s="106" t="s">
        <v>438</v>
      </c>
      <c r="AF10" s="106" t="s">
        <v>438</v>
      </c>
      <c r="AG10" s="106" t="s">
        <v>438</v>
      </c>
      <c r="AH10" s="106" t="s">
        <v>438</v>
      </c>
      <c r="AI10" s="106" t="s">
        <v>438</v>
      </c>
      <c r="AJ10" s="106" t="s">
        <v>438</v>
      </c>
      <c r="AK10" s="106" t="s">
        <v>438</v>
      </c>
      <c r="AL10" s="106" t="s">
        <v>438</v>
      </c>
      <c r="AM10" s="106" t="s">
        <v>438</v>
      </c>
      <c r="AN10" s="106" t="s">
        <v>438</v>
      </c>
      <c r="AO10" s="106" t="s">
        <v>438</v>
      </c>
      <c r="AP10" s="106" t="s">
        <v>438</v>
      </c>
      <c r="AQ10" s="106" t="s">
        <v>438</v>
      </c>
      <c r="AR10" s="106" t="s">
        <v>438</v>
      </c>
      <c r="AS10" s="106" t="s">
        <v>438</v>
      </c>
      <c r="AT10" s="106" t="s">
        <v>438</v>
      </c>
      <c r="AU10" s="106" t="s">
        <v>438</v>
      </c>
      <c r="AV10" s="106" t="s">
        <v>438</v>
      </c>
      <c r="AW10" s="106" t="s">
        <v>438</v>
      </c>
      <c r="AX10" s="106" t="s">
        <v>438</v>
      </c>
      <c r="AY10" s="106" t="s">
        <v>438</v>
      </c>
      <c r="AZ10" s="106" t="s">
        <v>438</v>
      </c>
      <c r="BA10" s="106" t="s">
        <v>438</v>
      </c>
      <c r="BB10" s="109">
        <v>455000000</v>
      </c>
      <c r="BC10" s="106" t="s">
        <v>438</v>
      </c>
      <c r="BD10" s="109">
        <v>23334</v>
      </c>
      <c r="BE10" s="106" t="s">
        <v>438</v>
      </c>
      <c r="BF10" s="106" t="s">
        <v>438</v>
      </c>
      <c r="BG10" s="106" t="s">
        <v>438</v>
      </c>
      <c r="BH10" s="106" t="s">
        <v>438</v>
      </c>
      <c r="BI10" s="106" t="s">
        <v>438</v>
      </c>
      <c r="BJ10" s="106" t="s">
        <v>438</v>
      </c>
      <c r="BK10" s="109">
        <v>220539000</v>
      </c>
      <c r="BL10" s="106" t="s">
        <v>438</v>
      </c>
      <c r="BM10" s="106" t="s">
        <v>438</v>
      </c>
      <c r="BN10" s="106" t="s">
        <v>438</v>
      </c>
      <c r="BO10" s="106" t="s">
        <v>438</v>
      </c>
      <c r="BP10" s="106" t="s">
        <v>438</v>
      </c>
      <c r="BQ10" s="106" t="s">
        <v>438</v>
      </c>
      <c r="BR10" s="106" t="s">
        <v>438</v>
      </c>
      <c r="BS10" s="106" t="s">
        <v>438</v>
      </c>
      <c r="BT10" s="106" t="s">
        <v>438</v>
      </c>
      <c r="BU10" s="106" t="s">
        <v>438</v>
      </c>
      <c r="BV10" s="106" t="s">
        <v>438</v>
      </c>
      <c r="BW10" s="106" t="s">
        <v>438</v>
      </c>
      <c r="BX10" s="106" t="s">
        <v>438</v>
      </c>
      <c r="BY10" s="106" t="s">
        <v>438</v>
      </c>
      <c r="BZ10" s="106" t="s">
        <v>438</v>
      </c>
      <c r="CA10" s="106" t="s">
        <v>438</v>
      </c>
      <c r="CB10" s="106" t="s">
        <v>438</v>
      </c>
      <c r="CC10" s="106" t="s">
        <v>438</v>
      </c>
      <c r="CD10" s="106" t="s">
        <v>438</v>
      </c>
      <c r="CE10" s="106" t="s">
        <v>438</v>
      </c>
      <c r="CF10" s="106" t="s">
        <v>438</v>
      </c>
      <c r="CG10" s="106" t="s">
        <v>438</v>
      </c>
      <c r="CH10" s="106" t="s">
        <v>438</v>
      </c>
      <c r="CI10" s="106" t="s">
        <v>438</v>
      </c>
      <c r="CJ10" s="106" t="s">
        <v>438</v>
      </c>
      <c r="CK10" s="106" t="s">
        <v>438</v>
      </c>
      <c r="CL10" s="109">
        <v>234461000</v>
      </c>
      <c r="CM10" s="106" t="s">
        <v>438</v>
      </c>
    </row>
    <row r="11" spans="1:91">
      <c r="A11" s="108" t="s">
        <v>442</v>
      </c>
      <c r="B11" s="106" t="s">
        <v>438</v>
      </c>
      <c r="C11" s="106" t="s">
        <v>438</v>
      </c>
      <c r="D11" s="106" t="s">
        <v>438</v>
      </c>
      <c r="E11" s="106" t="s">
        <v>438</v>
      </c>
      <c r="F11" s="106" t="s">
        <v>438</v>
      </c>
      <c r="G11" s="106" t="s">
        <v>438</v>
      </c>
      <c r="H11" s="106" t="s">
        <v>438</v>
      </c>
      <c r="I11" s="106" t="s">
        <v>438</v>
      </c>
      <c r="J11" s="106" t="s">
        <v>438</v>
      </c>
      <c r="K11" s="106" t="s">
        <v>438</v>
      </c>
      <c r="L11" s="106" t="s">
        <v>438</v>
      </c>
      <c r="M11" s="106" t="s">
        <v>438</v>
      </c>
      <c r="N11" s="106" t="s">
        <v>438</v>
      </c>
      <c r="O11" s="106" t="s">
        <v>438</v>
      </c>
      <c r="P11" s="106" t="s">
        <v>438</v>
      </c>
      <c r="Q11" s="106" t="s">
        <v>438</v>
      </c>
      <c r="R11" s="106" t="s">
        <v>438</v>
      </c>
      <c r="S11" s="106" t="s">
        <v>438</v>
      </c>
      <c r="T11" s="106" t="s">
        <v>438</v>
      </c>
      <c r="U11" s="106" t="s">
        <v>438</v>
      </c>
      <c r="V11" s="106" t="s">
        <v>438</v>
      </c>
      <c r="W11" s="106" t="s">
        <v>438</v>
      </c>
      <c r="X11" s="106" t="s">
        <v>438</v>
      </c>
      <c r="Y11" s="106" t="s">
        <v>438</v>
      </c>
      <c r="Z11" s="106" t="s">
        <v>438</v>
      </c>
      <c r="AA11" s="106" t="s">
        <v>438</v>
      </c>
      <c r="AB11" s="106" t="s">
        <v>438</v>
      </c>
      <c r="AC11" s="106" t="s">
        <v>438</v>
      </c>
      <c r="AD11" s="106" t="s">
        <v>438</v>
      </c>
      <c r="AE11" s="106" t="s">
        <v>438</v>
      </c>
      <c r="AF11" s="106" t="s">
        <v>438</v>
      </c>
      <c r="AG11" s="106" t="s">
        <v>438</v>
      </c>
      <c r="AH11" s="106" t="s">
        <v>438</v>
      </c>
      <c r="AI11" s="106" t="s">
        <v>438</v>
      </c>
      <c r="AJ11" s="106" t="s">
        <v>438</v>
      </c>
      <c r="AK11" s="106" t="s">
        <v>438</v>
      </c>
      <c r="AL11" s="106" t="s">
        <v>438</v>
      </c>
      <c r="AM11" s="106" t="s">
        <v>438</v>
      </c>
      <c r="AN11" s="106" t="s">
        <v>438</v>
      </c>
      <c r="AO11" s="106" t="s">
        <v>438</v>
      </c>
      <c r="AP11" s="106" t="s">
        <v>438</v>
      </c>
      <c r="AQ11" s="106" t="s">
        <v>438</v>
      </c>
      <c r="AR11" s="106" t="s">
        <v>438</v>
      </c>
      <c r="AS11" s="106" t="s">
        <v>438</v>
      </c>
      <c r="AT11" s="106" t="s">
        <v>438</v>
      </c>
      <c r="AU11" s="106" t="s">
        <v>438</v>
      </c>
      <c r="AV11" s="106" t="s">
        <v>438</v>
      </c>
      <c r="AW11" s="106" t="s">
        <v>438</v>
      </c>
      <c r="AX11" s="106" t="s">
        <v>438</v>
      </c>
      <c r="AY11" s="106" t="s">
        <v>438</v>
      </c>
      <c r="AZ11" s="106" t="s">
        <v>438</v>
      </c>
      <c r="BA11" s="106" t="s">
        <v>438</v>
      </c>
      <c r="BB11" s="109">
        <v>485179000</v>
      </c>
      <c r="BC11" s="106" t="s">
        <v>438</v>
      </c>
      <c r="BD11" s="109">
        <v>23667</v>
      </c>
      <c r="BE11" s="106" t="s">
        <v>438</v>
      </c>
      <c r="BF11" s="106" t="s">
        <v>438</v>
      </c>
      <c r="BG11" s="106" t="s">
        <v>438</v>
      </c>
      <c r="BH11" s="106" t="s">
        <v>438</v>
      </c>
      <c r="BI11" s="106" t="s">
        <v>438</v>
      </c>
      <c r="BJ11" s="106" t="s">
        <v>438</v>
      </c>
      <c r="BK11" s="109">
        <v>243754000</v>
      </c>
      <c r="BL11" s="106" t="s">
        <v>438</v>
      </c>
      <c r="BM11" s="106" t="s">
        <v>438</v>
      </c>
      <c r="BN11" s="106" t="s">
        <v>438</v>
      </c>
      <c r="BO11" s="106" t="s">
        <v>438</v>
      </c>
      <c r="BP11" s="106" t="s">
        <v>438</v>
      </c>
      <c r="BQ11" s="106" t="s">
        <v>438</v>
      </c>
      <c r="BR11" s="106" t="s">
        <v>438</v>
      </c>
      <c r="BS11" s="106" t="s">
        <v>438</v>
      </c>
      <c r="BT11" s="106" t="s">
        <v>438</v>
      </c>
      <c r="BU11" s="106" t="s">
        <v>438</v>
      </c>
      <c r="BV11" s="106" t="s">
        <v>438</v>
      </c>
      <c r="BW11" s="106" t="s">
        <v>438</v>
      </c>
      <c r="BX11" s="106" t="s">
        <v>438</v>
      </c>
      <c r="BY11" s="106" t="s">
        <v>438</v>
      </c>
      <c r="BZ11" s="106" t="s">
        <v>438</v>
      </c>
      <c r="CA11" s="106" t="s">
        <v>438</v>
      </c>
      <c r="CB11" s="106" t="s">
        <v>438</v>
      </c>
      <c r="CC11" s="106" t="s">
        <v>438</v>
      </c>
      <c r="CD11" s="106" t="s">
        <v>438</v>
      </c>
      <c r="CE11" s="106" t="s">
        <v>438</v>
      </c>
      <c r="CF11" s="106" t="s">
        <v>438</v>
      </c>
      <c r="CG11" s="106" t="s">
        <v>438</v>
      </c>
      <c r="CH11" s="106" t="s">
        <v>438</v>
      </c>
      <c r="CI11" s="106" t="s">
        <v>438</v>
      </c>
      <c r="CJ11" s="106" t="s">
        <v>438</v>
      </c>
      <c r="CK11" s="106" t="s">
        <v>438</v>
      </c>
      <c r="CL11" s="109">
        <v>241625000</v>
      </c>
      <c r="CM11" s="106" t="s">
        <v>438</v>
      </c>
    </row>
    <row r="12" spans="1:91">
      <c r="A12" s="108" t="s">
        <v>443</v>
      </c>
      <c r="B12" s="106" t="s">
        <v>438</v>
      </c>
      <c r="C12" s="106" t="s">
        <v>438</v>
      </c>
      <c r="D12" s="106" t="s">
        <v>438</v>
      </c>
      <c r="E12" s="106" t="s">
        <v>438</v>
      </c>
      <c r="F12" s="106" t="s">
        <v>438</v>
      </c>
      <c r="G12" s="106" t="s">
        <v>438</v>
      </c>
      <c r="H12" s="106" t="s">
        <v>438</v>
      </c>
      <c r="I12" s="106" t="s">
        <v>438</v>
      </c>
      <c r="J12" s="106" t="s">
        <v>438</v>
      </c>
      <c r="K12" s="106" t="s">
        <v>438</v>
      </c>
      <c r="L12" s="106" t="s">
        <v>438</v>
      </c>
      <c r="M12" s="106" t="s">
        <v>438</v>
      </c>
      <c r="N12" s="106" t="s">
        <v>438</v>
      </c>
      <c r="O12" s="106" t="s">
        <v>438</v>
      </c>
      <c r="P12" s="106" t="s">
        <v>438</v>
      </c>
      <c r="Q12" s="106" t="s">
        <v>438</v>
      </c>
      <c r="R12" s="106" t="s">
        <v>438</v>
      </c>
      <c r="S12" s="106" t="s">
        <v>438</v>
      </c>
      <c r="T12" s="106" t="s">
        <v>438</v>
      </c>
      <c r="U12" s="106" t="s">
        <v>438</v>
      </c>
      <c r="V12" s="106" t="s">
        <v>438</v>
      </c>
      <c r="W12" s="106" t="s">
        <v>438</v>
      </c>
      <c r="X12" s="106" t="s">
        <v>438</v>
      </c>
      <c r="Y12" s="106" t="s">
        <v>438</v>
      </c>
      <c r="Z12" s="106" t="s">
        <v>438</v>
      </c>
      <c r="AA12" s="106" t="s">
        <v>438</v>
      </c>
      <c r="AB12" s="106" t="s">
        <v>438</v>
      </c>
      <c r="AC12" s="106" t="s">
        <v>438</v>
      </c>
      <c r="AD12" s="106" t="s">
        <v>438</v>
      </c>
      <c r="AE12" s="106" t="s">
        <v>438</v>
      </c>
      <c r="AF12" s="106" t="s">
        <v>438</v>
      </c>
      <c r="AG12" s="106" t="s">
        <v>438</v>
      </c>
      <c r="AH12" s="106" t="s">
        <v>438</v>
      </c>
      <c r="AI12" s="106" t="s">
        <v>438</v>
      </c>
      <c r="AJ12" s="106" t="s">
        <v>438</v>
      </c>
      <c r="AK12" s="106" t="s">
        <v>438</v>
      </c>
      <c r="AL12" s="106" t="s">
        <v>438</v>
      </c>
      <c r="AM12" s="106" t="s">
        <v>438</v>
      </c>
      <c r="AN12" s="106" t="s">
        <v>438</v>
      </c>
      <c r="AO12" s="106" t="s">
        <v>438</v>
      </c>
      <c r="AP12" s="106" t="s">
        <v>438</v>
      </c>
      <c r="AQ12" s="106" t="s">
        <v>438</v>
      </c>
      <c r="AR12" s="106" t="s">
        <v>438</v>
      </c>
      <c r="AS12" s="106" t="s">
        <v>438</v>
      </c>
      <c r="AT12" s="106" t="s">
        <v>438</v>
      </c>
      <c r="AU12" s="106" t="s">
        <v>438</v>
      </c>
      <c r="AV12" s="106" t="s">
        <v>438</v>
      </c>
      <c r="AW12" s="106" t="s">
        <v>438</v>
      </c>
      <c r="AX12" s="106" t="s">
        <v>438</v>
      </c>
      <c r="AY12" s="106" t="s">
        <v>438</v>
      </c>
      <c r="AZ12" s="106" t="s">
        <v>438</v>
      </c>
      <c r="BA12" s="106" t="s">
        <v>438</v>
      </c>
      <c r="BB12" s="109">
        <v>536500000</v>
      </c>
      <c r="BC12" s="106" t="s">
        <v>438</v>
      </c>
      <c r="BD12" s="109">
        <v>23796</v>
      </c>
      <c r="BE12" s="106" t="s">
        <v>438</v>
      </c>
      <c r="BF12" s="106" t="s">
        <v>438</v>
      </c>
      <c r="BG12" s="106" t="s">
        <v>438</v>
      </c>
      <c r="BH12" s="106" t="s">
        <v>438</v>
      </c>
      <c r="BI12" s="106" t="s">
        <v>438</v>
      </c>
      <c r="BJ12" s="106" t="s">
        <v>438</v>
      </c>
      <c r="BK12" s="109">
        <v>274900000</v>
      </c>
      <c r="BL12" s="106" t="s">
        <v>438</v>
      </c>
      <c r="BM12" s="106" t="s">
        <v>438</v>
      </c>
      <c r="BN12" s="106" t="s">
        <v>438</v>
      </c>
      <c r="BO12" s="106" t="s">
        <v>438</v>
      </c>
      <c r="BP12" s="106" t="s">
        <v>438</v>
      </c>
      <c r="BQ12" s="106" t="s">
        <v>438</v>
      </c>
      <c r="BR12" s="106" t="s">
        <v>438</v>
      </c>
      <c r="BS12" s="106" t="s">
        <v>438</v>
      </c>
      <c r="BT12" s="106" t="s">
        <v>438</v>
      </c>
      <c r="BU12" s="106" t="s">
        <v>438</v>
      </c>
      <c r="BV12" s="106" t="s">
        <v>438</v>
      </c>
      <c r="BW12" s="106" t="s">
        <v>438</v>
      </c>
      <c r="BX12" s="106" t="s">
        <v>438</v>
      </c>
      <c r="BY12" s="106" t="s">
        <v>438</v>
      </c>
      <c r="BZ12" s="106" t="s">
        <v>438</v>
      </c>
      <c r="CA12" s="106" t="s">
        <v>438</v>
      </c>
      <c r="CB12" s="106" t="s">
        <v>438</v>
      </c>
      <c r="CC12" s="106" t="s">
        <v>438</v>
      </c>
      <c r="CD12" s="106" t="s">
        <v>438</v>
      </c>
      <c r="CE12" s="106" t="s">
        <v>438</v>
      </c>
      <c r="CF12" s="106" t="s">
        <v>438</v>
      </c>
      <c r="CG12" s="106" t="s">
        <v>438</v>
      </c>
      <c r="CH12" s="106" t="s">
        <v>438</v>
      </c>
      <c r="CI12" s="106" t="s">
        <v>438</v>
      </c>
      <c r="CJ12" s="106" t="s">
        <v>438</v>
      </c>
      <c r="CK12" s="106" t="s">
        <v>438</v>
      </c>
      <c r="CL12" s="109">
        <v>261600000</v>
      </c>
      <c r="CM12" s="106" t="s">
        <v>438</v>
      </c>
    </row>
    <row r="13" spans="1:91">
      <c r="A13" s="108" t="s">
        <v>444</v>
      </c>
      <c r="B13" s="106" t="s">
        <v>438</v>
      </c>
      <c r="C13" s="106" t="s">
        <v>438</v>
      </c>
      <c r="D13" s="106" t="s">
        <v>438</v>
      </c>
      <c r="E13" s="106" t="s">
        <v>438</v>
      </c>
      <c r="F13" s="106" t="s">
        <v>438</v>
      </c>
      <c r="G13" s="106" t="s">
        <v>438</v>
      </c>
      <c r="H13" s="106" t="s">
        <v>438</v>
      </c>
      <c r="I13" s="106" t="s">
        <v>438</v>
      </c>
      <c r="J13" s="106" t="s">
        <v>438</v>
      </c>
      <c r="K13" s="106" t="s">
        <v>438</v>
      </c>
      <c r="L13" s="106" t="s">
        <v>438</v>
      </c>
      <c r="M13" s="106" t="s">
        <v>438</v>
      </c>
      <c r="N13" s="106" t="s">
        <v>438</v>
      </c>
      <c r="O13" s="106" t="s">
        <v>438</v>
      </c>
      <c r="P13" s="106" t="s">
        <v>438</v>
      </c>
      <c r="Q13" s="106" t="s">
        <v>438</v>
      </c>
      <c r="R13" s="106" t="s">
        <v>438</v>
      </c>
      <c r="S13" s="106" t="s">
        <v>438</v>
      </c>
      <c r="T13" s="106" t="s">
        <v>438</v>
      </c>
      <c r="U13" s="106" t="s">
        <v>438</v>
      </c>
      <c r="V13" s="106" t="s">
        <v>438</v>
      </c>
      <c r="W13" s="106" t="s">
        <v>438</v>
      </c>
      <c r="X13" s="106" t="s">
        <v>438</v>
      </c>
      <c r="Y13" s="106" t="s">
        <v>438</v>
      </c>
      <c r="Z13" s="106" t="s">
        <v>438</v>
      </c>
      <c r="AA13" s="106" t="s">
        <v>438</v>
      </c>
      <c r="AB13" s="106" t="s">
        <v>438</v>
      </c>
      <c r="AC13" s="106" t="s">
        <v>438</v>
      </c>
      <c r="AD13" s="106" t="s">
        <v>438</v>
      </c>
      <c r="AE13" s="106" t="s">
        <v>438</v>
      </c>
      <c r="AF13" s="106" t="s">
        <v>438</v>
      </c>
      <c r="AG13" s="106" t="s">
        <v>438</v>
      </c>
      <c r="AH13" s="106" t="s">
        <v>438</v>
      </c>
      <c r="AI13" s="106" t="s">
        <v>438</v>
      </c>
      <c r="AJ13" s="106" t="s">
        <v>438</v>
      </c>
      <c r="AK13" s="106" t="s">
        <v>438</v>
      </c>
      <c r="AL13" s="106" t="s">
        <v>438</v>
      </c>
      <c r="AM13" s="106" t="s">
        <v>438</v>
      </c>
      <c r="AN13" s="106" t="s">
        <v>438</v>
      </c>
      <c r="AO13" s="106" t="s">
        <v>438</v>
      </c>
      <c r="AP13" s="106" t="s">
        <v>438</v>
      </c>
      <c r="AQ13" s="106" t="s">
        <v>438</v>
      </c>
      <c r="AR13" s="106" t="s">
        <v>438</v>
      </c>
      <c r="AS13" s="106" t="s">
        <v>438</v>
      </c>
      <c r="AT13" s="106" t="s">
        <v>438</v>
      </c>
      <c r="AU13" s="106" t="s">
        <v>438</v>
      </c>
      <c r="AV13" s="106" t="s">
        <v>438</v>
      </c>
      <c r="AW13" s="106" t="s">
        <v>438</v>
      </c>
      <c r="AX13" s="106" t="s">
        <v>438</v>
      </c>
      <c r="AY13" s="106" t="s">
        <v>438</v>
      </c>
      <c r="AZ13" s="106" t="s">
        <v>438</v>
      </c>
      <c r="BA13" s="106" t="s">
        <v>438</v>
      </c>
      <c r="BB13" s="109">
        <v>673300000</v>
      </c>
      <c r="BC13" s="106" t="s">
        <v>438</v>
      </c>
      <c r="BD13" s="109">
        <v>29997</v>
      </c>
      <c r="BE13" s="106" t="s">
        <v>438</v>
      </c>
      <c r="BF13" s="106" t="s">
        <v>438</v>
      </c>
      <c r="BG13" s="106" t="s">
        <v>438</v>
      </c>
      <c r="BH13" s="106" t="s">
        <v>438</v>
      </c>
      <c r="BI13" s="106" t="s">
        <v>438</v>
      </c>
      <c r="BJ13" s="106" t="s">
        <v>438</v>
      </c>
      <c r="BK13" s="109">
        <v>372500000</v>
      </c>
      <c r="BL13" s="106" t="s">
        <v>438</v>
      </c>
      <c r="BM13" s="106" t="s">
        <v>438</v>
      </c>
      <c r="BN13" s="106" t="s">
        <v>438</v>
      </c>
      <c r="BO13" s="106" t="s">
        <v>438</v>
      </c>
      <c r="BP13" s="106" t="s">
        <v>438</v>
      </c>
      <c r="BQ13" s="106" t="s">
        <v>438</v>
      </c>
      <c r="BR13" s="106" t="s">
        <v>438</v>
      </c>
      <c r="BS13" s="106" t="s">
        <v>438</v>
      </c>
      <c r="BT13" s="106" t="s">
        <v>438</v>
      </c>
      <c r="BU13" s="106" t="s">
        <v>438</v>
      </c>
      <c r="BV13" s="106" t="s">
        <v>438</v>
      </c>
      <c r="BW13" s="106" t="s">
        <v>438</v>
      </c>
      <c r="BX13" s="106" t="s">
        <v>438</v>
      </c>
      <c r="BY13" s="106" t="s">
        <v>438</v>
      </c>
      <c r="BZ13" s="106" t="s">
        <v>438</v>
      </c>
      <c r="CA13" s="106" t="s">
        <v>438</v>
      </c>
      <c r="CB13" s="106" t="s">
        <v>438</v>
      </c>
      <c r="CC13" s="106" t="s">
        <v>438</v>
      </c>
      <c r="CD13" s="106" t="s">
        <v>438</v>
      </c>
      <c r="CE13" s="106" t="s">
        <v>438</v>
      </c>
      <c r="CF13" s="106" t="s">
        <v>438</v>
      </c>
      <c r="CG13" s="106" t="s">
        <v>438</v>
      </c>
      <c r="CH13" s="106" t="s">
        <v>438</v>
      </c>
      <c r="CI13" s="106" t="s">
        <v>438</v>
      </c>
      <c r="CJ13" s="106" t="s">
        <v>438</v>
      </c>
      <c r="CK13" s="106" t="s">
        <v>438</v>
      </c>
      <c r="CL13" s="109">
        <v>300800000</v>
      </c>
      <c r="CM13" s="106" t="s">
        <v>438</v>
      </c>
    </row>
    <row r="14" spans="1:91">
      <c r="A14" s="108" t="s">
        <v>445</v>
      </c>
      <c r="B14" s="106" t="s">
        <v>438</v>
      </c>
      <c r="C14" s="106" t="s">
        <v>438</v>
      </c>
      <c r="D14" s="106" t="s">
        <v>438</v>
      </c>
      <c r="E14" s="106" t="s">
        <v>438</v>
      </c>
      <c r="F14" s="106" t="s">
        <v>438</v>
      </c>
      <c r="G14" s="106" t="s">
        <v>438</v>
      </c>
      <c r="H14" s="106" t="s">
        <v>438</v>
      </c>
      <c r="I14" s="106" t="s">
        <v>438</v>
      </c>
      <c r="J14" s="106" t="s">
        <v>438</v>
      </c>
      <c r="K14" s="106" t="s">
        <v>438</v>
      </c>
      <c r="L14" s="106" t="s">
        <v>438</v>
      </c>
      <c r="M14" s="106" t="s">
        <v>438</v>
      </c>
      <c r="N14" s="106" t="s">
        <v>438</v>
      </c>
      <c r="O14" s="106" t="s">
        <v>438</v>
      </c>
      <c r="P14" s="106" t="s">
        <v>438</v>
      </c>
      <c r="Q14" s="106" t="s">
        <v>438</v>
      </c>
      <c r="R14" s="106" t="s">
        <v>438</v>
      </c>
      <c r="S14" s="106" t="s">
        <v>438</v>
      </c>
      <c r="T14" s="106" t="s">
        <v>438</v>
      </c>
      <c r="U14" s="106" t="s">
        <v>438</v>
      </c>
      <c r="V14" s="106" t="s">
        <v>438</v>
      </c>
      <c r="W14" s="106" t="s">
        <v>438</v>
      </c>
      <c r="X14" s="106" t="s">
        <v>438</v>
      </c>
      <c r="Y14" s="106" t="s">
        <v>438</v>
      </c>
      <c r="Z14" s="106" t="s">
        <v>438</v>
      </c>
      <c r="AA14" s="106" t="s">
        <v>438</v>
      </c>
      <c r="AB14" s="106" t="s">
        <v>438</v>
      </c>
      <c r="AC14" s="106" t="s">
        <v>438</v>
      </c>
      <c r="AD14" s="106" t="s">
        <v>438</v>
      </c>
      <c r="AE14" s="106" t="s">
        <v>438</v>
      </c>
      <c r="AF14" s="106" t="s">
        <v>438</v>
      </c>
      <c r="AG14" s="106" t="s">
        <v>438</v>
      </c>
      <c r="AH14" s="106" t="s">
        <v>438</v>
      </c>
      <c r="AI14" s="106" t="s">
        <v>438</v>
      </c>
      <c r="AJ14" s="106" t="s">
        <v>438</v>
      </c>
      <c r="AK14" s="106" t="s">
        <v>438</v>
      </c>
      <c r="AL14" s="106" t="s">
        <v>438</v>
      </c>
      <c r="AM14" s="106" t="s">
        <v>438</v>
      </c>
      <c r="AN14" s="106" t="s">
        <v>438</v>
      </c>
      <c r="AO14" s="106" t="s">
        <v>438</v>
      </c>
      <c r="AP14" s="106" t="s">
        <v>438</v>
      </c>
      <c r="AQ14" s="106" t="s">
        <v>438</v>
      </c>
      <c r="AR14" s="106" t="s">
        <v>438</v>
      </c>
      <c r="AS14" s="106" t="s">
        <v>438</v>
      </c>
      <c r="AT14" s="106" t="s">
        <v>438</v>
      </c>
      <c r="AU14" s="106" t="s">
        <v>438</v>
      </c>
      <c r="AV14" s="106" t="s">
        <v>438</v>
      </c>
      <c r="AW14" s="106" t="s">
        <v>438</v>
      </c>
      <c r="AX14" s="106" t="s">
        <v>438</v>
      </c>
      <c r="AY14" s="106" t="s">
        <v>438</v>
      </c>
      <c r="AZ14" s="106" t="s">
        <v>438</v>
      </c>
      <c r="BA14" s="106" t="s">
        <v>438</v>
      </c>
      <c r="BB14" s="109">
        <v>974980625</v>
      </c>
      <c r="BC14" s="106" t="s">
        <v>438</v>
      </c>
      <c r="BD14" s="109">
        <v>39766</v>
      </c>
      <c r="BE14" s="106" t="s">
        <v>438</v>
      </c>
      <c r="BF14" s="106" t="s">
        <v>438</v>
      </c>
      <c r="BG14" s="106" t="s">
        <v>438</v>
      </c>
      <c r="BH14" s="106" t="s">
        <v>438</v>
      </c>
      <c r="BI14" s="106" t="s">
        <v>438</v>
      </c>
      <c r="BJ14" s="106" t="s">
        <v>438</v>
      </c>
      <c r="BK14" s="109">
        <v>580690496</v>
      </c>
      <c r="BL14" s="106" t="s">
        <v>438</v>
      </c>
      <c r="BM14" s="106" t="s">
        <v>438</v>
      </c>
      <c r="BN14" s="106" t="s">
        <v>438</v>
      </c>
      <c r="BO14" s="106" t="s">
        <v>438</v>
      </c>
      <c r="BP14" s="106" t="s">
        <v>438</v>
      </c>
      <c r="BQ14" s="106" t="s">
        <v>438</v>
      </c>
      <c r="BR14" s="106" t="s">
        <v>438</v>
      </c>
      <c r="BS14" s="106" t="s">
        <v>438</v>
      </c>
      <c r="BT14" s="106" t="s">
        <v>438</v>
      </c>
      <c r="BU14" s="106" t="s">
        <v>438</v>
      </c>
      <c r="BV14" s="106" t="s">
        <v>438</v>
      </c>
      <c r="BW14" s="106" t="s">
        <v>438</v>
      </c>
      <c r="BX14" s="106" t="s">
        <v>438</v>
      </c>
      <c r="BY14" s="106" t="s">
        <v>438</v>
      </c>
      <c r="BZ14" s="106" t="s">
        <v>438</v>
      </c>
      <c r="CA14" s="106" t="s">
        <v>438</v>
      </c>
      <c r="CB14" s="106" t="s">
        <v>438</v>
      </c>
      <c r="CC14" s="106" t="s">
        <v>438</v>
      </c>
      <c r="CD14" s="106" t="s">
        <v>438</v>
      </c>
      <c r="CE14" s="106" t="s">
        <v>438</v>
      </c>
      <c r="CF14" s="106" t="s">
        <v>438</v>
      </c>
      <c r="CG14" s="106" t="s">
        <v>438</v>
      </c>
      <c r="CH14" s="106" t="s">
        <v>438</v>
      </c>
      <c r="CI14" s="106" t="s">
        <v>438</v>
      </c>
      <c r="CJ14" s="106" t="s">
        <v>438</v>
      </c>
      <c r="CK14" s="106" t="s">
        <v>438</v>
      </c>
      <c r="CL14" s="109">
        <v>394090129</v>
      </c>
      <c r="CM14" s="106" t="s">
        <v>438</v>
      </c>
    </row>
    <row r="15" spans="1:91">
      <c r="A15" s="108" t="s">
        <v>446</v>
      </c>
      <c r="B15" s="106" t="s">
        <v>438</v>
      </c>
      <c r="C15" s="106" t="s">
        <v>438</v>
      </c>
      <c r="D15" s="106" t="s">
        <v>438</v>
      </c>
      <c r="E15" s="106" t="s">
        <v>438</v>
      </c>
      <c r="F15" s="106" t="s">
        <v>438</v>
      </c>
      <c r="G15" s="106" t="s">
        <v>438</v>
      </c>
      <c r="H15" s="106" t="s">
        <v>438</v>
      </c>
      <c r="I15" s="106" t="s">
        <v>438</v>
      </c>
      <c r="J15" s="106" t="s">
        <v>438</v>
      </c>
      <c r="K15" s="106" t="s">
        <v>438</v>
      </c>
      <c r="L15" s="106" t="s">
        <v>438</v>
      </c>
      <c r="M15" s="106" t="s">
        <v>438</v>
      </c>
      <c r="N15" s="106" t="s">
        <v>438</v>
      </c>
      <c r="O15" s="106" t="s">
        <v>438</v>
      </c>
      <c r="P15" s="106" t="s">
        <v>438</v>
      </c>
      <c r="Q15" s="106" t="s">
        <v>438</v>
      </c>
      <c r="R15" s="106" t="s">
        <v>438</v>
      </c>
      <c r="S15" s="106" t="s">
        <v>438</v>
      </c>
      <c r="T15" s="106" t="s">
        <v>438</v>
      </c>
      <c r="U15" s="106" t="s">
        <v>438</v>
      </c>
      <c r="V15" s="106" t="s">
        <v>438</v>
      </c>
      <c r="W15" s="106" t="s">
        <v>438</v>
      </c>
      <c r="X15" s="106" t="s">
        <v>438</v>
      </c>
      <c r="Y15" s="106" t="s">
        <v>438</v>
      </c>
      <c r="Z15" s="106" t="s">
        <v>438</v>
      </c>
      <c r="AA15" s="106" t="s">
        <v>438</v>
      </c>
      <c r="AB15" s="106" t="s">
        <v>438</v>
      </c>
      <c r="AC15" s="106" t="s">
        <v>438</v>
      </c>
      <c r="AD15" s="106" t="s">
        <v>438</v>
      </c>
      <c r="AE15" s="106" t="s">
        <v>438</v>
      </c>
      <c r="AF15" s="106" t="s">
        <v>438</v>
      </c>
      <c r="AG15" s="106" t="s">
        <v>438</v>
      </c>
      <c r="AH15" s="106" t="s">
        <v>438</v>
      </c>
      <c r="AI15" s="106" t="s">
        <v>438</v>
      </c>
      <c r="AJ15" s="106" t="s">
        <v>438</v>
      </c>
      <c r="AK15" s="106" t="s">
        <v>438</v>
      </c>
      <c r="AL15" s="106" t="s">
        <v>438</v>
      </c>
      <c r="AM15" s="106" t="s">
        <v>438</v>
      </c>
      <c r="AN15" s="106" t="s">
        <v>438</v>
      </c>
      <c r="AO15" s="106" t="s">
        <v>438</v>
      </c>
      <c r="AP15" s="106" t="s">
        <v>438</v>
      </c>
      <c r="AQ15" s="106" t="s">
        <v>438</v>
      </c>
      <c r="AR15" s="106" t="s">
        <v>438</v>
      </c>
      <c r="AS15" s="106" t="s">
        <v>438</v>
      </c>
      <c r="AT15" s="106" t="s">
        <v>438</v>
      </c>
      <c r="AU15" s="106" t="s">
        <v>438</v>
      </c>
      <c r="AV15" s="106" t="s">
        <v>438</v>
      </c>
      <c r="AW15" s="106" t="s">
        <v>438</v>
      </c>
      <c r="AX15" s="106" t="s">
        <v>438</v>
      </c>
      <c r="AY15" s="106" t="s">
        <v>438</v>
      </c>
      <c r="AZ15" s="106" t="s">
        <v>438</v>
      </c>
      <c r="BA15" s="106" t="s">
        <v>438</v>
      </c>
      <c r="BB15" s="109">
        <v>1093540228</v>
      </c>
      <c r="BC15" s="106" t="s">
        <v>438</v>
      </c>
      <c r="BD15" s="109">
        <v>35036</v>
      </c>
      <c r="BE15" s="109">
        <v>560301681</v>
      </c>
      <c r="BF15" s="109">
        <v>3807170</v>
      </c>
      <c r="BG15" s="106" t="s">
        <v>438</v>
      </c>
      <c r="BH15" s="106" t="s">
        <v>438</v>
      </c>
      <c r="BI15" s="106" t="s">
        <v>438</v>
      </c>
      <c r="BJ15" s="106" t="s">
        <v>438</v>
      </c>
      <c r="BK15" s="109">
        <v>636854802</v>
      </c>
      <c r="BL15" s="106" t="s">
        <v>438</v>
      </c>
      <c r="BM15" s="106" t="s">
        <v>438</v>
      </c>
      <c r="BN15" s="106" t="s">
        <v>438</v>
      </c>
      <c r="BO15" s="106" t="s">
        <v>438</v>
      </c>
      <c r="BP15" s="106" t="s">
        <v>438</v>
      </c>
      <c r="BQ15" s="106" t="s">
        <v>438</v>
      </c>
      <c r="BR15" s="106" t="s">
        <v>438</v>
      </c>
      <c r="BS15" s="106" t="s">
        <v>438</v>
      </c>
      <c r="BT15" s="106" t="s">
        <v>438</v>
      </c>
      <c r="BU15" s="106" t="s">
        <v>438</v>
      </c>
      <c r="BV15" s="106" t="s">
        <v>438</v>
      </c>
      <c r="BW15" s="106" t="s">
        <v>438</v>
      </c>
      <c r="BX15" s="106" t="s">
        <v>438</v>
      </c>
      <c r="BY15" s="106" t="s">
        <v>438</v>
      </c>
      <c r="BZ15" s="106" t="s">
        <v>438</v>
      </c>
      <c r="CA15" s="106" t="s">
        <v>438</v>
      </c>
      <c r="CB15" s="106" t="s">
        <v>438</v>
      </c>
      <c r="CC15" s="106" t="s">
        <v>438</v>
      </c>
      <c r="CD15" s="106" t="s">
        <v>438</v>
      </c>
      <c r="CE15" s="106" t="s">
        <v>438</v>
      </c>
      <c r="CF15" s="106" t="s">
        <v>438</v>
      </c>
      <c r="CG15" s="106" t="s">
        <v>438</v>
      </c>
      <c r="CH15" s="106" t="s">
        <v>438</v>
      </c>
      <c r="CI15" s="106" t="s">
        <v>438</v>
      </c>
      <c r="CJ15" s="106" t="s">
        <v>438</v>
      </c>
      <c r="CK15" s="106" t="s">
        <v>438</v>
      </c>
      <c r="CL15" s="109">
        <v>456685426</v>
      </c>
      <c r="CM15" s="106" t="s">
        <v>438</v>
      </c>
    </row>
    <row r="16" spans="1:91">
      <c r="A16" s="108" t="s">
        <v>447</v>
      </c>
      <c r="B16" s="106" t="s">
        <v>438</v>
      </c>
      <c r="C16" s="106" t="s">
        <v>438</v>
      </c>
      <c r="D16" s="106" t="s">
        <v>438</v>
      </c>
      <c r="E16" s="106" t="s">
        <v>438</v>
      </c>
      <c r="F16" s="106" t="s">
        <v>438</v>
      </c>
      <c r="G16" s="106" t="s">
        <v>438</v>
      </c>
      <c r="H16" s="106" t="s">
        <v>438</v>
      </c>
      <c r="I16" s="106" t="s">
        <v>438</v>
      </c>
      <c r="J16" s="106" t="s">
        <v>438</v>
      </c>
      <c r="K16" s="106" t="s">
        <v>438</v>
      </c>
      <c r="L16" s="106" t="s">
        <v>438</v>
      </c>
      <c r="M16" s="106" t="s">
        <v>438</v>
      </c>
      <c r="N16" s="106" t="s">
        <v>438</v>
      </c>
      <c r="O16" s="106" t="s">
        <v>438</v>
      </c>
      <c r="P16" s="106" t="s">
        <v>438</v>
      </c>
      <c r="Q16" s="106" t="s">
        <v>438</v>
      </c>
      <c r="R16" s="106" t="s">
        <v>438</v>
      </c>
      <c r="S16" s="106" t="s">
        <v>438</v>
      </c>
      <c r="T16" s="106" t="s">
        <v>438</v>
      </c>
      <c r="U16" s="106" t="s">
        <v>438</v>
      </c>
      <c r="V16" s="106" t="s">
        <v>438</v>
      </c>
      <c r="W16" s="106" t="s">
        <v>438</v>
      </c>
      <c r="X16" s="106" t="s">
        <v>438</v>
      </c>
      <c r="Y16" s="106" t="s">
        <v>438</v>
      </c>
      <c r="Z16" s="106" t="s">
        <v>438</v>
      </c>
      <c r="AA16" s="106" t="s">
        <v>438</v>
      </c>
      <c r="AB16" s="106" t="s">
        <v>438</v>
      </c>
      <c r="AC16" s="106" t="s">
        <v>438</v>
      </c>
      <c r="AD16" s="106" t="s">
        <v>438</v>
      </c>
      <c r="AE16" s="106" t="s">
        <v>438</v>
      </c>
      <c r="AF16" s="106" t="s">
        <v>438</v>
      </c>
      <c r="AG16" s="106" t="s">
        <v>438</v>
      </c>
      <c r="AH16" s="106" t="s">
        <v>438</v>
      </c>
      <c r="AI16" s="106" t="s">
        <v>438</v>
      </c>
      <c r="AJ16" s="106" t="s">
        <v>438</v>
      </c>
      <c r="AK16" s="106" t="s">
        <v>438</v>
      </c>
      <c r="AL16" s="106" t="s">
        <v>438</v>
      </c>
      <c r="AM16" s="106" t="s">
        <v>438</v>
      </c>
      <c r="AN16" s="106" t="s">
        <v>438</v>
      </c>
      <c r="AO16" s="106" t="s">
        <v>438</v>
      </c>
      <c r="AP16" s="106" t="s">
        <v>438</v>
      </c>
      <c r="AQ16" s="106" t="s">
        <v>438</v>
      </c>
      <c r="AR16" s="106" t="s">
        <v>438</v>
      </c>
      <c r="AS16" s="106" t="s">
        <v>438</v>
      </c>
      <c r="AT16" s="106" t="s">
        <v>438</v>
      </c>
      <c r="AU16" s="106" t="s">
        <v>438</v>
      </c>
      <c r="AV16" s="106" t="s">
        <v>438</v>
      </c>
      <c r="AW16" s="106" t="s">
        <v>438</v>
      </c>
      <c r="AX16" s="106" t="s">
        <v>438</v>
      </c>
      <c r="AY16" s="106" t="s">
        <v>438</v>
      </c>
      <c r="AZ16" s="106" t="s">
        <v>438</v>
      </c>
      <c r="BA16" s="106" t="s">
        <v>438</v>
      </c>
      <c r="BB16" s="109">
        <v>1104585460</v>
      </c>
      <c r="BC16" s="106" t="s">
        <v>438</v>
      </c>
      <c r="BD16" s="109">
        <v>31211</v>
      </c>
      <c r="BE16" s="109">
        <v>555990176</v>
      </c>
      <c r="BF16" s="109">
        <v>3337171</v>
      </c>
      <c r="BG16" s="106" t="s">
        <v>438</v>
      </c>
      <c r="BH16" s="106" t="s">
        <v>438</v>
      </c>
      <c r="BI16" s="106" t="s">
        <v>438</v>
      </c>
      <c r="BJ16" s="106" t="s">
        <v>438</v>
      </c>
      <c r="BK16" s="109">
        <v>641643193</v>
      </c>
      <c r="BL16" s="106" t="s">
        <v>438</v>
      </c>
      <c r="BM16" s="106" t="s">
        <v>438</v>
      </c>
      <c r="BN16" s="106" t="s">
        <v>438</v>
      </c>
      <c r="BO16" s="106" t="s">
        <v>438</v>
      </c>
      <c r="BP16" s="106" t="s">
        <v>438</v>
      </c>
      <c r="BQ16" s="106" t="s">
        <v>438</v>
      </c>
      <c r="BR16" s="106" t="s">
        <v>438</v>
      </c>
      <c r="BS16" s="106" t="s">
        <v>438</v>
      </c>
      <c r="BT16" s="106" t="s">
        <v>438</v>
      </c>
      <c r="BU16" s="106" t="s">
        <v>438</v>
      </c>
      <c r="BV16" s="106" t="s">
        <v>438</v>
      </c>
      <c r="BW16" s="106" t="s">
        <v>438</v>
      </c>
      <c r="BX16" s="106" t="s">
        <v>438</v>
      </c>
      <c r="BY16" s="106" t="s">
        <v>438</v>
      </c>
      <c r="BZ16" s="106" t="s">
        <v>438</v>
      </c>
      <c r="CA16" s="106" t="s">
        <v>438</v>
      </c>
      <c r="CB16" s="106" t="s">
        <v>438</v>
      </c>
      <c r="CC16" s="106" t="s">
        <v>438</v>
      </c>
      <c r="CD16" s="106" t="s">
        <v>438</v>
      </c>
      <c r="CE16" s="106" t="s">
        <v>438</v>
      </c>
      <c r="CF16" s="106" t="s">
        <v>438</v>
      </c>
      <c r="CG16" s="106" t="s">
        <v>438</v>
      </c>
      <c r="CH16" s="106" t="s">
        <v>438</v>
      </c>
      <c r="CI16" s="106" t="s">
        <v>438</v>
      </c>
      <c r="CJ16" s="106" t="s">
        <v>438</v>
      </c>
      <c r="CK16" s="106" t="s">
        <v>438</v>
      </c>
      <c r="CL16" s="109">
        <v>462942267</v>
      </c>
      <c r="CM16" s="106" t="s">
        <v>438</v>
      </c>
    </row>
    <row r="17" spans="1:91">
      <c r="A17" s="108" t="s">
        <v>448</v>
      </c>
      <c r="B17" s="106" t="s">
        <v>438</v>
      </c>
      <c r="C17" s="106" t="s">
        <v>438</v>
      </c>
      <c r="D17" s="106" t="s">
        <v>438</v>
      </c>
      <c r="E17" s="106" t="s">
        <v>438</v>
      </c>
      <c r="F17" s="106" t="s">
        <v>438</v>
      </c>
      <c r="G17" s="106" t="s">
        <v>438</v>
      </c>
      <c r="H17" s="106" t="s">
        <v>438</v>
      </c>
      <c r="I17" s="106" t="s">
        <v>438</v>
      </c>
      <c r="J17" s="106" t="s">
        <v>438</v>
      </c>
      <c r="K17" s="106" t="s">
        <v>438</v>
      </c>
      <c r="L17" s="106" t="s">
        <v>438</v>
      </c>
      <c r="M17" s="106" t="s">
        <v>438</v>
      </c>
      <c r="N17" s="106" t="s">
        <v>438</v>
      </c>
      <c r="O17" s="106" t="s">
        <v>438</v>
      </c>
      <c r="P17" s="106" t="s">
        <v>438</v>
      </c>
      <c r="Q17" s="106" t="s">
        <v>438</v>
      </c>
      <c r="R17" s="106" t="s">
        <v>438</v>
      </c>
      <c r="S17" s="106" t="s">
        <v>438</v>
      </c>
      <c r="T17" s="106" t="s">
        <v>438</v>
      </c>
      <c r="U17" s="106" t="s">
        <v>438</v>
      </c>
      <c r="V17" s="106" t="s">
        <v>438</v>
      </c>
      <c r="W17" s="106" t="s">
        <v>438</v>
      </c>
      <c r="X17" s="106" t="s">
        <v>438</v>
      </c>
      <c r="Y17" s="106" t="s">
        <v>438</v>
      </c>
      <c r="Z17" s="106" t="s">
        <v>438</v>
      </c>
      <c r="AA17" s="106" t="s">
        <v>438</v>
      </c>
      <c r="AB17" s="106" t="s">
        <v>438</v>
      </c>
      <c r="AC17" s="106" t="s">
        <v>438</v>
      </c>
      <c r="AD17" s="106" t="s">
        <v>438</v>
      </c>
      <c r="AE17" s="106" t="s">
        <v>438</v>
      </c>
      <c r="AF17" s="106" t="s">
        <v>438</v>
      </c>
      <c r="AG17" s="106" t="s">
        <v>438</v>
      </c>
      <c r="AH17" s="106" t="s">
        <v>438</v>
      </c>
      <c r="AI17" s="106" t="s">
        <v>438</v>
      </c>
      <c r="AJ17" s="106" t="s">
        <v>438</v>
      </c>
      <c r="AK17" s="106" t="s">
        <v>438</v>
      </c>
      <c r="AL17" s="106" t="s">
        <v>438</v>
      </c>
      <c r="AM17" s="106" t="s">
        <v>438</v>
      </c>
      <c r="AN17" s="106" t="s">
        <v>438</v>
      </c>
      <c r="AO17" s="106" t="s">
        <v>438</v>
      </c>
      <c r="AP17" s="106" t="s">
        <v>438</v>
      </c>
      <c r="AQ17" s="106" t="s">
        <v>438</v>
      </c>
      <c r="AR17" s="106" t="s">
        <v>438</v>
      </c>
      <c r="AS17" s="106" t="s">
        <v>438</v>
      </c>
      <c r="AT17" s="106" t="s">
        <v>438</v>
      </c>
      <c r="AU17" s="106" t="s">
        <v>438</v>
      </c>
      <c r="AV17" s="106" t="s">
        <v>438</v>
      </c>
      <c r="AW17" s="106" t="s">
        <v>438</v>
      </c>
      <c r="AX17" s="106" t="s">
        <v>438</v>
      </c>
      <c r="AY17" s="106" t="s">
        <v>438</v>
      </c>
      <c r="AZ17" s="106" t="s">
        <v>438</v>
      </c>
      <c r="BA17" s="106" t="s">
        <v>438</v>
      </c>
      <c r="BB17" s="109">
        <v>1192367923</v>
      </c>
      <c r="BC17" s="106" t="s">
        <v>438</v>
      </c>
      <c r="BD17" s="109">
        <v>31197</v>
      </c>
      <c r="BE17" s="109">
        <v>641144831</v>
      </c>
      <c r="BF17" s="109">
        <v>3492226</v>
      </c>
      <c r="BG17" s="106" t="s">
        <v>438</v>
      </c>
      <c r="BH17" s="106" t="s">
        <v>438</v>
      </c>
      <c r="BI17" s="106" t="s">
        <v>438</v>
      </c>
      <c r="BJ17" s="106" t="s">
        <v>438</v>
      </c>
      <c r="BK17" s="109">
        <v>751144246</v>
      </c>
      <c r="BL17" s="106" t="s">
        <v>438</v>
      </c>
      <c r="BM17" s="106" t="s">
        <v>438</v>
      </c>
      <c r="BN17" s="106" t="s">
        <v>438</v>
      </c>
      <c r="BO17" s="106" t="s">
        <v>438</v>
      </c>
      <c r="BP17" s="106" t="s">
        <v>438</v>
      </c>
      <c r="BQ17" s="106" t="s">
        <v>438</v>
      </c>
      <c r="BR17" s="106" t="s">
        <v>438</v>
      </c>
      <c r="BS17" s="106" t="s">
        <v>438</v>
      </c>
      <c r="BT17" s="106" t="s">
        <v>438</v>
      </c>
      <c r="BU17" s="106" t="s">
        <v>438</v>
      </c>
      <c r="BV17" s="106" t="s">
        <v>438</v>
      </c>
      <c r="BW17" s="106" t="s">
        <v>438</v>
      </c>
      <c r="BX17" s="106" t="s">
        <v>438</v>
      </c>
      <c r="BY17" s="106" t="s">
        <v>438</v>
      </c>
      <c r="BZ17" s="106" t="s">
        <v>438</v>
      </c>
      <c r="CA17" s="106" t="s">
        <v>438</v>
      </c>
      <c r="CB17" s="106" t="s">
        <v>438</v>
      </c>
      <c r="CC17" s="106" t="s">
        <v>438</v>
      </c>
      <c r="CD17" s="106" t="s">
        <v>438</v>
      </c>
      <c r="CE17" s="106" t="s">
        <v>438</v>
      </c>
      <c r="CF17" s="106" t="s">
        <v>438</v>
      </c>
      <c r="CG17" s="106" t="s">
        <v>438</v>
      </c>
      <c r="CH17" s="106" t="s">
        <v>438</v>
      </c>
      <c r="CI17" s="106" t="s">
        <v>438</v>
      </c>
      <c r="CJ17" s="106" t="s">
        <v>438</v>
      </c>
      <c r="CK17" s="106" t="s">
        <v>438</v>
      </c>
      <c r="CL17" s="109">
        <v>441223677</v>
      </c>
      <c r="CM17" s="106" t="s">
        <v>438</v>
      </c>
    </row>
    <row r="18" spans="1:91">
      <c r="A18" s="108" t="s">
        <v>449</v>
      </c>
      <c r="B18" s="106" t="s">
        <v>438</v>
      </c>
      <c r="C18" s="106" t="s">
        <v>438</v>
      </c>
      <c r="D18" s="106" t="s">
        <v>438</v>
      </c>
      <c r="E18" s="106" t="s">
        <v>438</v>
      </c>
      <c r="F18" s="106" t="s">
        <v>438</v>
      </c>
      <c r="G18" s="106" t="s">
        <v>438</v>
      </c>
      <c r="H18" s="106" t="s">
        <v>438</v>
      </c>
      <c r="I18" s="106" t="s">
        <v>438</v>
      </c>
      <c r="J18" s="106" t="s">
        <v>438</v>
      </c>
      <c r="K18" s="106" t="s">
        <v>438</v>
      </c>
      <c r="L18" s="106" t="s">
        <v>438</v>
      </c>
      <c r="M18" s="106" t="s">
        <v>438</v>
      </c>
      <c r="N18" s="106" t="s">
        <v>438</v>
      </c>
      <c r="O18" s="106" t="s">
        <v>438</v>
      </c>
      <c r="P18" s="106" t="s">
        <v>438</v>
      </c>
      <c r="Q18" s="106" t="s">
        <v>438</v>
      </c>
      <c r="R18" s="106" t="s">
        <v>438</v>
      </c>
      <c r="S18" s="106" t="s">
        <v>438</v>
      </c>
      <c r="T18" s="106" t="s">
        <v>438</v>
      </c>
      <c r="U18" s="106" t="s">
        <v>438</v>
      </c>
      <c r="V18" s="106" t="s">
        <v>438</v>
      </c>
      <c r="W18" s="106" t="s">
        <v>438</v>
      </c>
      <c r="X18" s="106" t="s">
        <v>438</v>
      </c>
      <c r="Y18" s="106" t="s">
        <v>438</v>
      </c>
      <c r="Z18" s="106" t="s">
        <v>438</v>
      </c>
      <c r="AA18" s="106" t="s">
        <v>438</v>
      </c>
      <c r="AB18" s="106" t="s">
        <v>438</v>
      </c>
      <c r="AC18" s="106" t="s">
        <v>438</v>
      </c>
      <c r="AD18" s="106" t="s">
        <v>438</v>
      </c>
      <c r="AE18" s="106" t="s">
        <v>438</v>
      </c>
      <c r="AF18" s="106" t="s">
        <v>438</v>
      </c>
      <c r="AG18" s="106" t="s">
        <v>438</v>
      </c>
      <c r="AH18" s="106" t="s">
        <v>438</v>
      </c>
      <c r="AI18" s="106" t="s">
        <v>438</v>
      </c>
      <c r="AJ18" s="106" t="s">
        <v>438</v>
      </c>
      <c r="AK18" s="106" t="s">
        <v>438</v>
      </c>
      <c r="AL18" s="106" t="s">
        <v>438</v>
      </c>
      <c r="AM18" s="106" t="s">
        <v>438</v>
      </c>
      <c r="AN18" s="106" t="s">
        <v>438</v>
      </c>
      <c r="AO18" s="106" t="s">
        <v>438</v>
      </c>
      <c r="AP18" s="106" t="s">
        <v>438</v>
      </c>
      <c r="AQ18" s="106" t="s">
        <v>438</v>
      </c>
      <c r="AR18" s="106" t="s">
        <v>438</v>
      </c>
      <c r="AS18" s="106" t="s">
        <v>438</v>
      </c>
      <c r="AT18" s="106" t="s">
        <v>438</v>
      </c>
      <c r="AU18" s="106" t="s">
        <v>438</v>
      </c>
      <c r="AV18" s="106" t="s">
        <v>438</v>
      </c>
      <c r="AW18" s="106" t="s">
        <v>438</v>
      </c>
      <c r="AX18" s="106" t="s">
        <v>438</v>
      </c>
      <c r="AY18" s="106" t="s">
        <v>438</v>
      </c>
      <c r="AZ18" s="106" t="s">
        <v>438</v>
      </c>
      <c r="BA18" s="106" t="s">
        <v>438</v>
      </c>
      <c r="BB18" s="109">
        <v>1222049678</v>
      </c>
      <c r="BC18" s="106" t="s">
        <v>438</v>
      </c>
      <c r="BD18" s="109">
        <v>23793</v>
      </c>
      <c r="BE18" s="109">
        <v>548582318</v>
      </c>
      <c r="BF18" s="109">
        <v>2689540</v>
      </c>
      <c r="BG18" s="106" t="s">
        <v>438</v>
      </c>
      <c r="BH18" s="106" t="s">
        <v>438</v>
      </c>
      <c r="BI18" s="106" t="s">
        <v>438</v>
      </c>
      <c r="BJ18" s="106" t="s">
        <v>438</v>
      </c>
      <c r="BK18" s="109">
        <v>666903839</v>
      </c>
      <c r="BL18" s="106" t="s">
        <v>438</v>
      </c>
      <c r="BM18" s="106" t="s">
        <v>438</v>
      </c>
      <c r="BN18" s="106" t="s">
        <v>438</v>
      </c>
      <c r="BO18" s="106" t="s">
        <v>438</v>
      </c>
      <c r="BP18" s="106" t="s">
        <v>438</v>
      </c>
      <c r="BQ18" s="106" t="s">
        <v>438</v>
      </c>
      <c r="BR18" s="106" t="s">
        <v>438</v>
      </c>
      <c r="BS18" s="106" t="s">
        <v>438</v>
      </c>
      <c r="BT18" s="106" t="s">
        <v>438</v>
      </c>
      <c r="BU18" s="106" t="s">
        <v>438</v>
      </c>
      <c r="BV18" s="106" t="s">
        <v>438</v>
      </c>
      <c r="BW18" s="106" t="s">
        <v>438</v>
      </c>
      <c r="BX18" s="106" t="s">
        <v>438</v>
      </c>
      <c r="BY18" s="106" t="s">
        <v>438</v>
      </c>
      <c r="BZ18" s="106" t="s">
        <v>438</v>
      </c>
      <c r="CA18" s="106" t="s">
        <v>438</v>
      </c>
      <c r="CB18" s="106" t="s">
        <v>438</v>
      </c>
      <c r="CC18" s="106" t="s">
        <v>438</v>
      </c>
      <c r="CD18" s="106" t="s">
        <v>438</v>
      </c>
      <c r="CE18" s="106" t="s">
        <v>438</v>
      </c>
      <c r="CF18" s="106" t="s">
        <v>438</v>
      </c>
      <c r="CG18" s="106" t="s">
        <v>438</v>
      </c>
      <c r="CH18" s="106" t="s">
        <v>438</v>
      </c>
      <c r="CI18" s="106" t="s">
        <v>438</v>
      </c>
      <c r="CJ18" s="106" t="s">
        <v>438</v>
      </c>
      <c r="CK18" s="106" t="s">
        <v>438</v>
      </c>
      <c r="CL18" s="109">
        <v>555145839</v>
      </c>
      <c r="CM18" s="106" t="s">
        <v>438</v>
      </c>
    </row>
    <row r="19" spans="1:91">
      <c r="A19" s="108" t="s">
        <v>450</v>
      </c>
      <c r="B19" s="106" t="s">
        <v>438</v>
      </c>
      <c r="C19" s="106" t="s">
        <v>438</v>
      </c>
      <c r="D19" s="106" t="s">
        <v>438</v>
      </c>
      <c r="E19" s="106" t="s">
        <v>438</v>
      </c>
      <c r="F19" s="106" t="s">
        <v>438</v>
      </c>
      <c r="G19" s="106" t="s">
        <v>438</v>
      </c>
      <c r="H19" s="106" t="s">
        <v>438</v>
      </c>
      <c r="I19" s="106" t="s">
        <v>438</v>
      </c>
      <c r="J19" s="106" t="s">
        <v>438</v>
      </c>
      <c r="K19" s="106" t="s">
        <v>438</v>
      </c>
      <c r="L19" s="106" t="s">
        <v>438</v>
      </c>
      <c r="M19" s="106" t="s">
        <v>438</v>
      </c>
      <c r="N19" s="106" t="s">
        <v>438</v>
      </c>
      <c r="O19" s="106" t="s">
        <v>438</v>
      </c>
      <c r="P19" s="106" t="s">
        <v>438</v>
      </c>
      <c r="Q19" s="106" t="s">
        <v>438</v>
      </c>
      <c r="R19" s="106" t="s">
        <v>438</v>
      </c>
      <c r="S19" s="106" t="s">
        <v>438</v>
      </c>
      <c r="T19" s="106" t="s">
        <v>438</v>
      </c>
      <c r="U19" s="106" t="s">
        <v>438</v>
      </c>
      <c r="V19" s="106" t="s">
        <v>438</v>
      </c>
      <c r="W19" s="106" t="s">
        <v>438</v>
      </c>
      <c r="X19" s="106" t="s">
        <v>438</v>
      </c>
      <c r="Y19" s="106" t="s">
        <v>438</v>
      </c>
      <c r="Z19" s="106" t="s">
        <v>438</v>
      </c>
      <c r="AA19" s="106" t="s">
        <v>438</v>
      </c>
      <c r="AB19" s="106" t="s">
        <v>438</v>
      </c>
      <c r="AC19" s="106" t="s">
        <v>438</v>
      </c>
      <c r="AD19" s="106" t="s">
        <v>438</v>
      </c>
      <c r="AE19" s="106" t="s">
        <v>438</v>
      </c>
      <c r="AF19" s="106" t="s">
        <v>438</v>
      </c>
      <c r="AG19" s="106" t="s">
        <v>438</v>
      </c>
      <c r="AH19" s="106" t="s">
        <v>438</v>
      </c>
      <c r="AI19" s="106" t="s">
        <v>438</v>
      </c>
      <c r="AJ19" s="106" t="s">
        <v>438</v>
      </c>
      <c r="AK19" s="106" t="s">
        <v>438</v>
      </c>
      <c r="AL19" s="106" t="s">
        <v>438</v>
      </c>
      <c r="AM19" s="106" t="s">
        <v>438</v>
      </c>
      <c r="AN19" s="106" t="s">
        <v>438</v>
      </c>
      <c r="AO19" s="106" t="s">
        <v>438</v>
      </c>
      <c r="AP19" s="106" t="s">
        <v>438</v>
      </c>
      <c r="AQ19" s="106" t="s">
        <v>438</v>
      </c>
      <c r="AR19" s="106" t="s">
        <v>438</v>
      </c>
      <c r="AS19" s="106" t="s">
        <v>438</v>
      </c>
      <c r="AT19" s="106" t="s">
        <v>438</v>
      </c>
      <c r="AU19" s="106" t="s">
        <v>438</v>
      </c>
      <c r="AV19" s="106" t="s">
        <v>438</v>
      </c>
      <c r="AW19" s="106" t="s">
        <v>438</v>
      </c>
      <c r="AX19" s="106" t="s">
        <v>438</v>
      </c>
      <c r="AY19" s="106" t="s">
        <v>438</v>
      </c>
      <c r="AZ19" s="106" t="s">
        <v>438</v>
      </c>
      <c r="BA19" s="106" t="s">
        <v>438</v>
      </c>
      <c r="BB19" s="109">
        <v>1141411104</v>
      </c>
      <c r="BC19" s="106" t="s">
        <v>438</v>
      </c>
      <c r="BD19" s="109">
        <v>19132</v>
      </c>
      <c r="BE19" s="109">
        <v>490474650</v>
      </c>
      <c r="BF19" s="109">
        <v>2200835</v>
      </c>
      <c r="BG19" s="106" t="s">
        <v>438</v>
      </c>
      <c r="BH19" s="106" t="s">
        <v>438</v>
      </c>
      <c r="BI19" s="106" t="s">
        <v>438</v>
      </c>
      <c r="BJ19" s="106" t="s">
        <v>438</v>
      </c>
      <c r="BK19" s="109">
        <v>621183468</v>
      </c>
      <c r="BL19" s="106" t="s">
        <v>438</v>
      </c>
      <c r="BM19" s="106" t="s">
        <v>438</v>
      </c>
      <c r="BN19" s="106" t="s">
        <v>438</v>
      </c>
      <c r="BO19" s="106" t="s">
        <v>438</v>
      </c>
      <c r="BP19" s="106" t="s">
        <v>438</v>
      </c>
      <c r="BQ19" s="106" t="s">
        <v>438</v>
      </c>
      <c r="BR19" s="106" t="s">
        <v>438</v>
      </c>
      <c r="BS19" s="106" t="s">
        <v>438</v>
      </c>
      <c r="BT19" s="106" t="s">
        <v>438</v>
      </c>
      <c r="BU19" s="106" t="s">
        <v>438</v>
      </c>
      <c r="BV19" s="106" t="s">
        <v>438</v>
      </c>
      <c r="BW19" s="106" t="s">
        <v>438</v>
      </c>
      <c r="BX19" s="106" t="s">
        <v>438</v>
      </c>
      <c r="BY19" s="106" t="s">
        <v>438</v>
      </c>
      <c r="BZ19" s="106" t="s">
        <v>438</v>
      </c>
      <c r="CA19" s="106" t="s">
        <v>438</v>
      </c>
      <c r="CB19" s="106" t="s">
        <v>438</v>
      </c>
      <c r="CC19" s="106" t="s">
        <v>438</v>
      </c>
      <c r="CD19" s="106" t="s">
        <v>438</v>
      </c>
      <c r="CE19" s="106" t="s">
        <v>438</v>
      </c>
      <c r="CF19" s="106" t="s">
        <v>438</v>
      </c>
      <c r="CG19" s="106" t="s">
        <v>438</v>
      </c>
      <c r="CH19" s="106" t="s">
        <v>438</v>
      </c>
      <c r="CI19" s="106" t="s">
        <v>438</v>
      </c>
      <c r="CJ19" s="106" t="s">
        <v>438</v>
      </c>
      <c r="CK19" s="106" t="s">
        <v>438</v>
      </c>
      <c r="CL19" s="109">
        <v>520227636</v>
      </c>
      <c r="CM19" s="106" t="s">
        <v>438</v>
      </c>
    </row>
    <row r="20" spans="1:91">
      <c r="A20" s="108" t="s">
        <v>451</v>
      </c>
      <c r="B20" s="106" t="s">
        <v>438</v>
      </c>
      <c r="C20" s="106" t="s">
        <v>438</v>
      </c>
      <c r="D20" s="106" t="s">
        <v>438</v>
      </c>
      <c r="E20" s="106" t="s">
        <v>438</v>
      </c>
      <c r="F20" s="106" t="s">
        <v>438</v>
      </c>
      <c r="G20" s="106" t="s">
        <v>438</v>
      </c>
      <c r="H20" s="106" t="s">
        <v>438</v>
      </c>
      <c r="I20" s="106" t="s">
        <v>438</v>
      </c>
      <c r="J20" s="106" t="s">
        <v>438</v>
      </c>
      <c r="K20" s="106" t="s">
        <v>438</v>
      </c>
      <c r="L20" s="106" t="s">
        <v>438</v>
      </c>
      <c r="M20" s="106" t="s">
        <v>438</v>
      </c>
      <c r="N20" s="106" t="s">
        <v>438</v>
      </c>
      <c r="O20" s="106" t="s">
        <v>438</v>
      </c>
      <c r="P20" s="106" t="s">
        <v>438</v>
      </c>
      <c r="Q20" s="106" t="s">
        <v>438</v>
      </c>
      <c r="R20" s="106" t="s">
        <v>438</v>
      </c>
      <c r="S20" s="106" t="s">
        <v>438</v>
      </c>
      <c r="T20" s="106" t="s">
        <v>438</v>
      </c>
      <c r="U20" s="106" t="s">
        <v>438</v>
      </c>
      <c r="V20" s="106" t="s">
        <v>438</v>
      </c>
      <c r="W20" s="106" t="s">
        <v>438</v>
      </c>
      <c r="X20" s="106" t="s">
        <v>438</v>
      </c>
      <c r="Y20" s="106" t="s">
        <v>438</v>
      </c>
      <c r="Z20" s="106" t="s">
        <v>438</v>
      </c>
      <c r="AA20" s="106" t="s">
        <v>438</v>
      </c>
      <c r="AB20" s="106" t="s">
        <v>438</v>
      </c>
      <c r="AC20" s="106" t="s">
        <v>438</v>
      </c>
      <c r="AD20" s="106" t="s">
        <v>438</v>
      </c>
      <c r="AE20" s="106" t="s">
        <v>438</v>
      </c>
      <c r="AF20" s="106" t="s">
        <v>438</v>
      </c>
      <c r="AG20" s="106" t="s">
        <v>438</v>
      </c>
      <c r="AH20" s="106" t="s">
        <v>438</v>
      </c>
      <c r="AI20" s="106" t="s">
        <v>438</v>
      </c>
      <c r="AJ20" s="106" t="s">
        <v>438</v>
      </c>
      <c r="AK20" s="106" t="s">
        <v>438</v>
      </c>
      <c r="AL20" s="106" t="s">
        <v>438</v>
      </c>
      <c r="AM20" s="106" t="s">
        <v>438</v>
      </c>
      <c r="AN20" s="106" t="s">
        <v>438</v>
      </c>
      <c r="AO20" s="106" t="s">
        <v>438</v>
      </c>
      <c r="AP20" s="106" t="s">
        <v>438</v>
      </c>
      <c r="AQ20" s="106" t="s">
        <v>438</v>
      </c>
      <c r="AR20" s="106" t="s">
        <v>438</v>
      </c>
      <c r="AS20" s="106" t="s">
        <v>438</v>
      </c>
      <c r="AT20" s="106" t="s">
        <v>438</v>
      </c>
      <c r="AU20" s="106" t="s">
        <v>438</v>
      </c>
      <c r="AV20" s="106" t="s">
        <v>438</v>
      </c>
      <c r="AW20" s="106" t="s">
        <v>438</v>
      </c>
      <c r="AX20" s="106" t="s">
        <v>438</v>
      </c>
      <c r="AY20" s="106" t="s">
        <v>438</v>
      </c>
      <c r="AZ20" s="106" t="s">
        <v>438</v>
      </c>
      <c r="BA20" s="106" t="s">
        <v>438</v>
      </c>
      <c r="BB20" s="109">
        <v>1100929406</v>
      </c>
      <c r="BC20" s="106" t="s">
        <v>438</v>
      </c>
      <c r="BD20" s="109">
        <v>15582</v>
      </c>
      <c r="BE20" s="109">
        <v>456415878</v>
      </c>
      <c r="BF20" s="109">
        <v>1912227</v>
      </c>
      <c r="BG20" s="106" t="s">
        <v>438</v>
      </c>
      <c r="BH20" s="106" t="s">
        <v>438</v>
      </c>
      <c r="BI20" s="106" t="s">
        <v>438</v>
      </c>
      <c r="BJ20" s="106" t="s">
        <v>438</v>
      </c>
      <c r="BK20" s="109">
        <v>606558626</v>
      </c>
      <c r="BL20" s="106" t="s">
        <v>438</v>
      </c>
      <c r="BM20" s="106" t="s">
        <v>438</v>
      </c>
      <c r="BN20" s="106" t="s">
        <v>438</v>
      </c>
      <c r="BO20" s="106" t="s">
        <v>438</v>
      </c>
      <c r="BP20" s="106" t="s">
        <v>438</v>
      </c>
      <c r="BQ20" s="106" t="s">
        <v>438</v>
      </c>
      <c r="BR20" s="106" t="s">
        <v>438</v>
      </c>
      <c r="BS20" s="106" t="s">
        <v>438</v>
      </c>
      <c r="BT20" s="106" t="s">
        <v>438</v>
      </c>
      <c r="BU20" s="106" t="s">
        <v>438</v>
      </c>
      <c r="BV20" s="106" t="s">
        <v>438</v>
      </c>
      <c r="BW20" s="106" t="s">
        <v>438</v>
      </c>
      <c r="BX20" s="106" t="s">
        <v>438</v>
      </c>
      <c r="BY20" s="106" t="s">
        <v>438</v>
      </c>
      <c r="BZ20" s="106" t="s">
        <v>438</v>
      </c>
      <c r="CA20" s="106" t="s">
        <v>438</v>
      </c>
      <c r="CB20" s="106" t="s">
        <v>438</v>
      </c>
      <c r="CC20" s="106" t="s">
        <v>438</v>
      </c>
      <c r="CD20" s="106" t="s">
        <v>438</v>
      </c>
      <c r="CE20" s="106" t="s">
        <v>438</v>
      </c>
      <c r="CF20" s="106" t="s">
        <v>438</v>
      </c>
      <c r="CG20" s="106" t="s">
        <v>438</v>
      </c>
      <c r="CH20" s="106" t="s">
        <v>438</v>
      </c>
      <c r="CI20" s="106" t="s">
        <v>438</v>
      </c>
      <c r="CJ20" s="106" t="s">
        <v>438</v>
      </c>
      <c r="CK20" s="106" t="s">
        <v>438</v>
      </c>
      <c r="CL20" s="109">
        <v>494370780</v>
      </c>
      <c r="CM20" s="106" t="s">
        <v>438</v>
      </c>
    </row>
    <row r="21" spans="1:91">
      <c r="A21" s="108" t="s">
        <v>452</v>
      </c>
      <c r="B21" s="106" t="s">
        <v>438</v>
      </c>
      <c r="C21" s="106" t="s">
        <v>438</v>
      </c>
      <c r="D21" s="106" t="s">
        <v>438</v>
      </c>
      <c r="E21" s="106" t="s">
        <v>438</v>
      </c>
      <c r="F21" s="106" t="s">
        <v>438</v>
      </c>
      <c r="G21" s="106" t="s">
        <v>438</v>
      </c>
      <c r="H21" s="106" t="s">
        <v>438</v>
      </c>
      <c r="I21" s="106" t="s">
        <v>438</v>
      </c>
      <c r="J21" s="106" t="s">
        <v>438</v>
      </c>
      <c r="K21" s="106" t="s">
        <v>438</v>
      </c>
      <c r="L21" s="106" t="s">
        <v>438</v>
      </c>
      <c r="M21" s="106" t="s">
        <v>438</v>
      </c>
      <c r="N21" s="106" t="s">
        <v>438</v>
      </c>
      <c r="O21" s="106" t="s">
        <v>438</v>
      </c>
      <c r="P21" s="106" t="s">
        <v>438</v>
      </c>
      <c r="Q21" s="106" t="s">
        <v>438</v>
      </c>
      <c r="R21" s="106" t="s">
        <v>438</v>
      </c>
      <c r="S21" s="106" t="s">
        <v>438</v>
      </c>
      <c r="T21" s="106" t="s">
        <v>438</v>
      </c>
      <c r="U21" s="106" t="s">
        <v>438</v>
      </c>
      <c r="V21" s="106" t="s">
        <v>438</v>
      </c>
      <c r="W21" s="106" t="s">
        <v>438</v>
      </c>
      <c r="X21" s="106" t="s">
        <v>438</v>
      </c>
      <c r="Y21" s="106" t="s">
        <v>438</v>
      </c>
      <c r="Z21" s="106" t="s">
        <v>438</v>
      </c>
      <c r="AA21" s="106" t="s">
        <v>438</v>
      </c>
      <c r="AB21" s="106" t="s">
        <v>438</v>
      </c>
      <c r="AC21" s="106" t="s">
        <v>438</v>
      </c>
      <c r="AD21" s="106" t="s">
        <v>438</v>
      </c>
      <c r="AE21" s="106" t="s">
        <v>438</v>
      </c>
      <c r="AF21" s="106" t="s">
        <v>438</v>
      </c>
      <c r="AG21" s="106" t="s">
        <v>438</v>
      </c>
      <c r="AH21" s="106" t="s">
        <v>438</v>
      </c>
      <c r="AI21" s="106" t="s">
        <v>438</v>
      </c>
      <c r="AJ21" s="106" t="s">
        <v>438</v>
      </c>
      <c r="AK21" s="106" t="s">
        <v>438</v>
      </c>
      <c r="AL21" s="106" t="s">
        <v>438</v>
      </c>
      <c r="AM21" s="106" t="s">
        <v>438</v>
      </c>
      <c r="AN21" s="106" t="s">
        <v>438</v>
      </c>
      <c r="AO21" s="106" t="s">
        <v>438</v>
      </c>
      <c r="AP21" s="106" t="s">
        <v>438</v>
      </c>
      <c r="AQ21" s="106" t="s">
        <v>438</v>
      </c>
      <c r="AR21" s="106" t="s">
        <v>438</v>
      </c>
      <c r="AS21" s="106" t="s">
        <v>438</v>
      </c>
      <c r="AT21" s="106" t="s">
        <v>438</v>
      </c>
      <c r="AU21" s="106" t="s">
        <v>438</v>
      </c>
      <c r="AV21" s="106" t="s">
        <v>438</v>
      </c>
      <c r="AW21" s="106" t="s">
        <v>438</v>
      </c>
      <c r="AX21" s="106" t="s">
        <v>438</v>
      </c>
      <c r="AY21" s="106" t="s">
        <v>438</v>
      </c>
      <c r="AZ21" s="106" t="s">
        <v>438</v>
      </c>
      <c r="BA21" s="106" t="s">
        <v>438</v>
      </c>
      <c r="BB21" s="109">
        <v>1314746835</v>
      </c>
      <c r="BC21" s="106" t="s">
        <v>438</v>
      </c>
      <c r="BD21" s="109">
        <v>14664</v>
      </c>
      <c r="BE21" s="109">
        <v>505586444</v>
      </c>
      <c r="BF21" s="109">
        <v>1843046</v>
      </c>
      <c r="BG21" s="106" t="s">
        <v>438</v>
      </c>
      <c r="BH21" s="106" t="s">
        <v>438</v>
      </c>
      <c r="BI21" s="106" t="s">
        <v>438</v>
      </c>
      <c r="BJ21" s="106" t="s">
        <v>438</v>
      </c>
      <c r="BK21" s="109">
        <v>691648464</v>
      </c>
      <c r="BL21" s="106" t="s">
        <v>438</v>
      </c>
      <c r="BM21" s="106" t="s">
        <v>438</v>
      </c>
      <c r="BN21" s="106" t="s">
        <v>438</v>
      </c>
      <c r="BO21" s="106" t="s">
        <v>438</v>
      </c>
      <c r="BP21" s="106" t="s">
        <v>438</v>
      </c>
      <c r="BQ21" s="106" t="s">
        <v>438</v>
      </c>
      <c r="BR21" s="106" t="s">
        <v>438</v>
      </c>
      <c r="BS21" s="106" t="s">
        <v>438</v>
      </c>
      <c r="BT21" s="106" t="s">
        <v>438</v>
      </c>
      <c r="BU21" s="106" t="s">
        <v>438</v>
      </c>
      <c r="BV21" s="106" t="s">
        <v>438</v>
      </c>
      <c r="BW21" s="106" t="s">
        <v>438</v>
      </c>
      <c r="BX21" s="106" t="s">
        <v>438</v>
      </c>
      <c r="BY21" s="106" t="s">
        <v>438</v>
      </c>
      <c r="BZ21" s="106" t="s">
        <v>438</v>
      </c>
      <c r="CA21" s="106" t="s">
        <v>438</v>
      </c>
      <c r="CB21" s="106" t="s">
        <v>438</v>
      </c>
      <c r="CC21" s="106" t="s">
        <v>438</v>
      </c>
      <c r="CD21" s="106" t="s">
        <v>438</v>
      </c>
      <c r="CE21" s="106" t="s">
        <v>438</v>
      </c>
      <c r="CF21" s="106" t="s">
        <v>438</v>
      </c>
      <c r="CG21" s="106" t="s">
        <v>438</v>
      </c>
      <c r="CH21" s="106" t="s">
        <v>438</v>
      </c>
      <c r="CI21" s="106" t="s">
        <v>438</v>
      </c>
      <c r="CJ21" s="106" t="s">
        <v>438</v>
      </c>
      <c r="CK21" s="106" t="s">
        <v>438</v>
      </c>
      <c r="CL21" s="109">
        <v>623098371</v>
      </c>
      <c r="CM21" s="106" t="s">
        <v>438</v>
      </c>
    </row>
    <row r="22" spans="1:91">
      <c r="A22" s="108" t="s">
        <v>453</v>
      </c>
      <c r="B22" s="106" t="s">
        <v>438</v>
      </c>
      <c r="C22" s="106" t="s">
        <v>438</v>
      </c>
      <c r="D22" s="106" t="s">
        <v>438</v>
      </c>
      <c r="E22" s="106" t="s">
        <v>438</v>
      </c>
      <c r="F22" s="106" t="s">
        <v>438</v>
      </c>
      <c r="G22" s="106" t="s">
        <v>438</v>
      </c>
      <c r="H22" s="106" t="s">
        <v>438</v>
      </c>
      <c r="I22" s="106" t="s">
        <v>438</v>
      </c>
      <c r="J22" s="106" t="s">
        <v>438</v>
      </c>
      <c r="K22" s="106" t="s">
        <v>438</v>
      </c>
      <c r="L22" s="106" t="s">
        <v>438</v>
      </c>
      <c r="M22" s="106" t="s">
        <v>438</v>
      </c>
      <c r="N22" s="106" t="s">
        <v>438</v>
      </c>
      <c r="O22" s="106" t="s">
        <v>438</v>
      </c>
      <c r="P22" s="106" t="s">
        <v>438</v>
      </c>
      <c r="Q22" s="106" t="s">
        <v>438</v>
      </c>
      <c r="R22" s="106" t="s">
        <v>438</v>
      </c>
      <c r="S22" s="106" t="s">
        <v>438</v>
      </c>
      <c r="T22" s="106" t="s">
        <v>438</v>
      </c>
      <c r="U22" s="106" t="s">
        <v>438</v>
      </c>
      <c r="V22" s="106" t="s">
        <v>438</v>
      </c>
      <c r="W22" s="106" t="s">
        <v>438</v>
      </c>
      <c r="X22" s="106" t="s">
        <v>438</v>
      </c>
      <c r="Y22" s="106" t="s">
        <v>438</v>
      </c>
      <c r="Z22" s="106" t="s">
        <v>438</v>
      </c>
      <c r="AA22" s="106" t="s">
        <v>438</v>
      </c>
      <c r="AB22" s="106" t="s">
        <v>438</v>
      </c>
      <c r="AC22" s="106" t="s">
        <v>438</v>
      </c>
      <c r="AD22" s="106" t="s">
        <v>438</v>
      </c>
      <c r="AE22" s="106" t="s">
        <v>438</v>
      </c>
      <c r="AF22" s="106" t="s">
        <v>438</v>
      </c>
      <c r="AG22" s="106" t="s">
        <v>438</v>
      </c>
      <c r="AH22" s="106" t="s">
        <v>438</v>
      </c>
      <c r="AI22" s="106" t="s">
        <v>438</v>
      </c>
      <c r="AJ22" s="106" t="s">
        <v>438</v>
      </c>
      <c r="AK22" s="106" t="s">
        <v>438</v>
      </c>
      <c r="AL22" s="106" t="s">
        <v>438</v>
      </c>
      <c r="AM22" s="106" t="s">
        <v>438</v>
      </c>
      <c r="AN22" s="106" t="s">
        <v>438</v>
      </c>
      <c r="AO22" s="106" t="s">
        <v>438</v>
      </c>
      <c r="AP22" s="106" t="s">
        <v>438</v>
      </c>
      <c r="AQ22" s="106" t="s">
        <v>438</v>
      </c>
      <c r="AR22" s="106" t="s">
        <v>438</v>
      </c>
      <c r="AS22" s="106" t="s">
        <v>438</v>
      </c>
      <c r="AT22" s="106" t="s">
        <v>438</v>
      </c>
      <c r="AU22" s="106" t="s">
        <v>438</v>
      </c>
      <c r="AV22" s="106" t="s">
        <v>438</v>
      </c>
      <c r="AW22" s="106" t="s">
        <v>438</v>
      </c>
      <c r="AX22" s="106" t="s">
        <v>438</v>
      </c>
      <c r="AY22" s="106" t="s">
        <v>438</v>
      </c>
      <c r="AZ22" s="106" t="s">
        <v>438</v>
      </c>
      <c r="BA22" s="106" t="s">
        <v>438</v>
      </c>
      <c r="BB22" s="109">
        <v>1858972808</v>
      </c>
      <c r="BC22" s="106" t="s">
        <v>438</v>
      </c>
      <c r="BD22" s="109">
        <v>17804</v>
      </c>
      <c r="BE22" s="109">
        <v>764686980</v>
      </c>
      <c r="BF22" s="109">
        <v>2344854</v>
      </c>
      <c r="BG22" s="106" t="s">
        <v>438</v>
      </c>
      <c r="BH22" s="106" t="s">
        <v>438</v>
      </c>
      <c r="BI22" s="106" t="s">
        <v>438</v>
      </c>
      <c r="BJ22" s="106" t="s">
        <v>438</v>
      </c>
      <c r="BK22" s="109">
        <v>1015308828</v>
      </c>
      <c r="BL22" s="106" t="s">
        <v>438</v>
      </c>
      <c r="BM22" s="106" t="s">
        <v>438</v>
      </c>
      <c r="BN22" s="106" t="s">
        <v>438</v>
      </c>
      <c r="BO22" s="106" t="s">
        <v>438</v>
      </c>
      <c r="BP22" s="106" t="s">
        <v>438</v>
      </c>
      <c r="BQ22" s="106" t="s">
        <v>438</v>
      </c>
      <c r="BR22" s="106" t="s">
        <v>438</v>
      </c>
      <c r="BS22" s="106" t="s">
        <v>438</v>
      </c>
      <c r="BT22" s="106" t="s">
        <v>438</v>
      </c>
      <c r="BU22" s="106" t="s">
        <v>438</v>
      </c>
      <c r="BV22" s="106" t="s">
        <v>438</v>
      </c>
      <c r="BW22" s="106" t="s">
        <v>438</v>
      </c>
      <c r="BX22" s="106" t="s">
        <v>438</v>
      </c>
      <c r="BY22" s="106" t="s">
        <v>438</v>
      </c>
      <c r="BZ22" s="106" t="s">
        <v>438</v>
      </c>
      <c r="CA22" s="106" t="s">
        <v>438</v>
      </c>
      <c r="CB22" s="106" t="s">
        <v>438</v>
      </c>
      <c r="CC22" s="106" t="s">
        <v>438</v>
      </c>
      <c r="CD22" s="106" t="s">
        <v>438</v>
      </c>
      <c r="CE22" s="106" t="s">
        <v>438</v>
      </c>
      <c r="CF22" s="106" t="s">
        <v>438</v>
      </c>
      <c r="CG22" s="106" t="s">
        <v>438</v>
      </c>
      <c r="CH22" s="106" t="s">
        <v>438</v>
      </c>
      <c r="CI22" s="106" t="s">
        <v>438</v>
      </c>
      <c r="CJ22" s="106" t="s">
        <v>438</v>
      </c>
      <c r="CK22" s="106" t="s">
        <v>438</v>
      </c>
      <c r="CL22" s="109">
        <v>843663980</v>
      </c>
      <c r="CM22" s="106" t="s">
        <v>438</v>
      </c>
    </row>
    <row r="23" spans="1:91">
      <c r="A23" s="108" t="s">
        <v>454</v>
      </c>
      <c r="B23" s="106" t="s">
        <v>438</v>
      </c>
      <c r="C23" s="106" t="s">
        <v>438</v>
      </c>
      <c r="D23" s="106" t="s">
        <v>438</v>
      </c>
      <c r="E23" s="106" t="s">
        <v>438</v>
      </c>
      <c r="F23" s="106" t="s">
        <v>438</v>
      </c>
      <c r="G23" s="106" t="s">
        <v>438</v>
      </c>
      <c r="H23" s="106" t="s">
        <v>438</v>
      </c>
      <c r="I23" s="106" t="s">
        <v>438</v>
      </c>
      <c r="J23" s="106" t="s">
        <v>438</v>
      </c>
      <c r="K23" s="106" t="s">
        <v>438</v>
      </c>
      <c r="L23" s="106" t="s">
        <v>438</v>
      </c>
      <c r="M23" s="106" t="s">
        <v>438</v>
      </c>
      <c r="N23" s="106" t="s">
        <v>438</v>
      </c>
      <c r="O23" s="106" t="s">
        <v>438</v>
      </c>
      <c r="P23" s="106" t="s">
        <v>438</v>
      </c>
      <c r="Q23" s="106" t="s">
        <v>438</v>
      </c>
      <c r="R23" s="106" t="s">
        <v>438</v>
      </c>
      <c r="S23" s="106" t="s">
        <v>438</v>
      </c>
      <c r="T23" s="106" t="s">
        <v>438</v>
      </c>
      <c r="U23" s="106" t="s">
        <v>438</v>
      </c>
      <c r="V23" s="106" t="s">
        <v>438</v>
      </c>
      <c r="W23" s="106" t="s">
        <v>438</v>
      </c>
      <c r="X23" s="106" t="s">
        <v>438</v>
      </c>
      <c r="Y23" s="106" t="s">
        <v>438</v>
      </c>
      <c r="Z23" s="106" t="s">
        <v>438</v>
      </c>
      <c r="AA23" s="106" t="s">
        <v>438</v>
      </c>
      <c r="AB23" s="106" t="s">
        <v>438</v>
      </c>
      <c r="AC23" s="106" t="s">
        <v>438</v>
      </c>
      <c r="AD23" s="106" t="s">
        <v>438</v>
      </c>
      <c r="AE23" s="106" t="s">
        <v>438</v>
      </c>
      <c r="AF23" s="106" t="s">
        <v>438</v>
      </c>
      <c r="AG23" s="106" t="s">
        <v>438</v>
      </c>
      <c r="AH23" s="106" t="s">
        <v>438</v>
      </c>
      <c r="AI23" s="106" t="s">
        <v>438</v>
      </c>
      <c r="AJ23" s="106" t="s">
        <v>438</v>
      </c>
      <c r="AK23" s="106" t="s">
        <v>438</v>
      </c>
      <c r="AL23" s="106" t="s">
        <v>438</v>
      </c>
      <c r="AM23" s="106" t="s">
        <v>438</v>
      </c>
      <c r="AN23" s="106" t="s">
        <v>438</v>
      </c>
      <c r="AO23" s="106" t="s">
        <v>438</v>
      </c>
      <c r="AP23" s="106" t="s">
        <v>438</v>
      </c>
      <c r="AQ23" s="106" t="s">
        <v>438</v>
      </c>
      <c r="AR23" s="106" t="s">
        <v>438</v>
      </c>
      <c r="AS23" s="106" t="s">
        <v>438</v>
      </c>
      <c r="AT23" s="106" t="s">
        <v>438</v>
      </c>
      <c r="AU23" s="106" t="s">
        <v>438</v>
      </c>
      <c r="AV23" s="106" t="s">
        <v>438</v>
      </c>
      <c r="AW23" s="106" t="s">
        <v>438</v>
      </c>
      <c r="AX23" s="106" t="s">
        <v>438</v>
      </c>
      <c r="AY23" s="106" t="s">
        <v>438</v>
      </c>
      <c r="AZ23" s="106" t="s">
        <v>438</v>
      </c>
      <c r="BA23" s="106" t="s">
        <v>438</v>
      </c>
      <c r="BB23" s="109">
        <v>2108424393</v>
      </c>
      <c r="BC23" s="106" t="s">
        <v>438</v>
      </c>
      <c r="BD23" s="109">
        <v>16896</v>
      </c>
      <c r="BE23" s="109">
        <v>831366013</v>
      </c>
      <c r="BF23" s="109">
        <v>2156417</v>
      </c>
      <c r="BG23" s="106" t="s">
        <v>438</v>
      </c>
      <c r="BH23" s="106" t="s">
        <v>438</v>
      </c>
      <c r="BI23" s="106" t="s">
        <v>438</v>
      </c>
      <c r="BJ23" s="106" t="s">
        <v>438</v>
      </c>
      <c r="BK23" s="109">
        <v>1130646417</v>
      </c>
      <c r="BL23" s="106" t="s">
        <v>438</v>
      </c>
      <c r="BM23" s="106" t="s">
        <v>438</v>
      </c>
      <c r="BN23" s="106" t="s">
        <v>438</v>
      </c>
      <c r="BO23" s="106" t="s">
        <v>438</v>
      </c>
      <c r="BP23" s="106" t="s">
        <v>438</v>
      </c>
      <c r="BQ23" s="106" t="s">
        <v>438</v>
      </c>
      <c r="BR23" s="106" t="s">
        <v>438</v>
      </c>
      <c r="BS23" s="106" t="s">
        <v>438</v>
      </c>
      <c r="BT23" s="106" t="s">
        <v>438</v>
      </c>
      <c r="BU23" s="106" t="s">
        <v>438</v>
      </c>
      <c r="BV23" s="106" t="s">
        <v>438</v>
      </c>
      <c r="BW23" s="106" t="s">
        <v>438</v>
      </c>
      <c r="BX23" s="106" t="s">
        <v>438</v>
      </c>
      <c r="BY23" s="106" t="s">
        <v>438</v>
      </c>
      <c r="BZ23" s="106" t="s">
        <v>438</v>
      </c>
      <c r="CA23" s="106" t="s">
        <v>438</v>
      </c>
      <c r="CB23" s="106" t="s">
        <v>438</v>
      </c>
      <c r="CC23" s="106" t="s">
        <v>438</v>
      </c>
      <c r="CD23" s="106" t="s">
        <v>438</v>
      </c>
      <c r="CE23" s="106" t="s">
        <v>438</v>
      </c>
      <c r="CF23" s="106" t="s">
        <v>438</v>
      </c>
      <c r="CG23" s="106" t="s">
        <v>438</v>
      </c>
      <c r="CH23" s="106" t="s">
        <v>438</v>
      </c>
      <c r="CI23" s="106" t="s">
        <v>438</v>
      </c>
      <c r="CJ23" s="106" t="s">
        <v>438</v>
      </c>
      <c r="CK23" s="106" t="s">
        <v>438</v>
      </c>
      <c r="CL23" s="109">
        <v>977777976</v>
      </c>
      <c r="CM23" s="106" t="s">
        <v>438</v>
      </c>
    </row>
    <row r="24" spans="1:91">
      <c r="A24" s="108" t="s">
        <v>455</v>
      </c>
      <c r="B24" s="106" t="s">
        <v>438</v>
      </c>
      <c r="C24" s="106" t="s">
        <v>438</v>
      </c>
      <c r="D24" s="106" t="s">
        <v>438</v>
      </c>
      <c r="E24" s="106" t="s">
        <v>438</v>
      </c>
      <c r="F24" s="106" t="s">
        <v>438</v>
      </c>
      <c r="G24" s="106" t="s">
        <v>438</v>
      </c>
      <c r="H24" s="106" t="s">
        <v>438</v>
      </c>
      <c r="I24" s="106" t="s">
        <v>438</v>
      </c>
      <c r="J24" s="106" t="s">
        <v>438</v>
      </c>
      <c r="K24" s="106" t="s">
        <v>438</v>
      </c>
      <c r="L24" s="106" t="s">
        <v>438</v>
      </c>
      <c r="M24" s="106" t="s">
        <v>438</v>
      </c>
      <c r="N24" s="106" t="s">
        <v>438</v>
      </c>
      <c r="O24" s="106" t="s">
        <v>438</v>
      </c>
      <c r="P24" s="106" t="s">
        <v>438</v>
      </c>
      <c r="Q24" s="106" t="s">
        <v>438</v>
      </c>
      <c r="R24" s="106" t="s">
        <v>438</v>
      </c>
      <c r="S24" s="106" t="s">
        <v>438</v>
      </c>
      <c r="T24" s="106" t="s">
        <v>438</v>
      </c>
      <c r="U24" s="106" t="s">
        <v>438</v>
      </c>
      <c r="V24" s="106" t="s">
        <v>438</v>
      </c>
      <c r="W24" s="106" t="s">
        <v>438</v>
      </c>
      <c r="X24" s="106" t="s">
        <v>438</v>
      </c>
      <c r="Y24" s="106" t="s">
        <v>438</v>
      </c>
      <c r="Z24" s="106" t="s">
        <v>438</v>
      </c>
      <c r="AA24" s="106" t="s">
        <v>438</v>
      </c>
      <c r="AB24" s="106" t="s">
        <v>438</v>
      </c>
      <c r="AC24" s="106" t="s">
        <v>438</v>
      </c>
      <c r="AD24" s="106" t="s">
        <v>438</v>
      </c>
      <c r="AE24" s="106" t="s">
        <v>438</v>
      </c>
      <c r="AF24" s="106" t="s">
        <v>438</v>
      </c>
      <c r="AG24" s="106" t="s">
        <v>438</v>
      </c>
      <c r="AH24" s="106" t="s">
        <v>438</v>
      </c>
      <c r="AI24" s="106" t="s">
        <v>438</v>
      </c>
      <c r="AJ24" s="106" t="s">
        <v>438</v>
      </c>
      <c r="AK24" s="106" t="s">
        <v>438</v>
      </c>
      <c r="AL24" s="106" t="s">
        <v>438</v>
      </c>
      <c r="AM24" s="106" t="s">
        <v>438</v>
      </c>
      <c r="AN24" s="106" t="s">
        <v>438</v>
      </c>
      <c r="AO24" s="106" t="s">
        <v>438</v>
      </c>
      <c r="AP24" s="106" t="s">
        <v>438</v>
      </c>
      <c r="AQ24" s="106" t="s">
        <v>438</v>
      </c>
      <c r="AR24" s="106" t="s">
        <v>438</v>
      </c>
      <c r="AS24" s="106" t="s">
        <v>438</v>
      </c>
      <c r="AT24" s="106" t="s">
        <v>438</v>
      </c>
      <c r="AU24" s="106" t="s">
        <v>438</v>
      </c>
      <c r="AV24" s="106" t="s">
        <v>438</v>
      </c>
      <c r="AW24" s="106" t="s">
        <v>438</v>
      </c>
      <c r="AX24" s="106" t="s">
        <v>438</v>
      </c>
      <c r="AY24" s="106" t="s">
        <v>438</v>
      </c>
      <c r="AZ24" s="106" t="s">
        <v>438</v>
      </c>
      <c r="BA24" s="106" t="s">
        <v>438</v>
      </c>
      <c r="BB24" s="109">
        <v>2071661852</v>
      </c>
      <c r="BC24" s="106" t="s">
        <v>438</v>
      </c>
      <c r="BD24" s="109">
        <v>18629</v>
      </c>
      <c r="BE24" s="109">
        <v>941618410</v>
      </c>
      <c r="BF24" s="109">
        <v>2323216</v>
      </c>
      <c r="BG24" s="106" t="s">
        <v>438</v>
      </c>
      <c r="BH24" s="106" t="s">
        <v>438</v>
      </c>
      <c r="BI24" s="106" t="s">
        <v>438</v>
      </c>
      <c r="BJ24" s="106" t="s">
        <v>438</v>
      </c>
      <c r="BK24" s="109">
        <v>1255453871</v>
      </c>
      <c r="BL24" s="106" t="s">
        <v>438</v>
      </c>
      <c r="BM24" s="106" t="s">
        <v>438</v>
      </c>
      <c r="BN24" s="106" t="s">
        <v>438</v>
      </c>
      <c r="BO24" s="106" t="s">
        <v>438</v>
      </c>
      <c r="BP24" s="106" t="s">
        <v>438</v>
      </c>
      <c r="BQ24" s="106" t="s">
        <v>438</v>
      </c>
      <c r="BR24" s="106" t="s">
        <v>438</v>
      </c>
      <c r="BS24" s="106" t="s">
        <v>438</v>
      </c>
      <c r="BT24" s="106" t="s">
        <v>438</v>
      </c>
      <c r="BU24" s="106" t="s">
        <v>438</v>
      </c>
      <c r="BV24" s="106" t="s">
        <v>438</v>
      </c>
      <c r="BW24" s="106" t="s">
        <v>438</v>
      </c>
      <c r="BX24" s="106" t="s">
        <v>438</v>
      </c>
      <c r="BY24" s="106" t="s">
        <v>438</v>
      </c>
      <c r="BZ24" s="106" t="s">
        <v>438</v>
      </c>
      <c r="CA24" s="106" t="s">
        <v>438</v>
      </c>
      <c r="CB24" s="106" t="s">
        <v>438</v>
      </c>
      <c r="CC24" s="106" t="s">
        <v>438</v>
      </c>
      <c r="CD24" s="106" t="s">
        <v>438</v>
      </c>
      <c r="CE24" s="106" t="s">
        <v>438</v>
      </c>
      <c r="CF24" s="106" t="s">
        <v>438</v>
      </c>
      <c r="CG24" s="106" t="s">
        <v>438</v>
      </c>
      <c r="CH24" s="106" t="s">
        <v>438</v>
      </c>
      <c r="CI24" s="106" t="s">
        <v>438</v>
      </c>
      <c r="CJ24" s="106" t="s">
        <v>438</v>
      </c>
      <c r="CK24" s="106" t="s">
        <v>438</v>
      </c>
      <c r="CL24" s="109">
        <v>816207981</v>
      </c>
      <c r="CM24" s="106" t="s">
        <v>438</v>
      </c>
    </row>
    <row r="25" spans="1:91">
      <c r="A25" s="108" t="s">
        <v>456</v>
      </c>
      <c r="B25" s="106" t="s">
        <v>438</v>
      </c>
      <c r="C25" s="106" t="s">
        <v>438</v>
      </c>
      <c r="D25" s="106" t="s">
        <v>438</v>
      </c>
      <c r="E25" s="106" t="s">
        <v>438</v>
      </c>
      <c r="F25" s="106" t="s">
        <v>438</v>
      </c>
      <c r="G25" s="106" t="s">
        <v>438</v>
      </c>
      <c r="H25" s="106" t="s">
        <v>438</v>
      </c>
      <c r="I25" s="106" t="s">
        <v>438</v>
      </c>
      <c r="J25" s="106" t="s">
        <v>438</v>
      </c>
      <c r="K25" s="106" t="s">
        <v>438</v>
      </c>
      <c r="L25" s="106" t="s">
        <v>438</v>
      </c>
      <c r="M25" s="106" t="s">
        <v>438</v>
      </c>
      <c r="N25" s="106" t="s">
        <v>438</v>
      </c>
      <c r="O25" s="106" t="s">
        <v>438</v>
      </c>
      <c r="P25" s="106" t="s">
        <v>438</v>
      </c>
      <c r="Q25" s="106" t="s">
        <v>438</v>
      </c>
      <c r="R25" s="106" t="s">
        <v>438</v>
      </c>
      <c r="S25" s="106" t="s">
        <v>438</v>
      </c>
      <c r="T25" s="106" t="s">
        <v>438</v>
      </c>
      <c r="U25" s="106" t="s">
        <v>438</v>
      </c>
      <c r="V25" s="106" t="s">
        <v>438</v>
      </c>
      <c r="W25" s="106" t="s">
        <v>438</v>
      </c>
      <c r="X25" s="106" t="s">
        <v>438</v>
      </c>
      <c r="Y25" s="106" t="s">
        <v>438</v>
      </c>
      <c r="Z25" s="106" t="s">
        <v>438</v>
      </c>
      <c r="AA25" s="106" t="s">
        <v>438</v>
      </c>
      <c r="AB25" s="106" t="s">
        <v>438</v>
      </c>
      <c r="AC25" s="106" t="s">
        <v>438</v>
      </c>
      <c r="AD25" s="106" t="s">
        <v>438</v>
      </c>
      <c r="AE25" s="106" t="s">
        <v>438</v>
      </c>
      <c r="AF25" s="106" t="s">
        <v>438</v>
      </c>
      <c r="AG25" s="106" t="s">
        <v>438</v>
      </c>
      <c r="AH25" s="106" t="s">
        <v>438</v>
      </c>
      <c r="AI25" s="106" t="s">
        <v>438</v>
      </c>
      <c r="AJ25" s="106" t="s">
        <v>438</v>
      </c>
      <c r="AK25" s="106" t="s">
        <v>438</v>
      </c>
      <c r="AL25" s="106" t="s">
        <v>438</v>
      </c>
      <c r="AM25" s="106" t="s">
        <v>438</v>
      </c>
      <c r="AN25" s="106" t="s">
        <v>438</v>
      </c>
      <c r="AO25" s="106" t="s">
        <v>438</v>
      </c>
      <c r="AP25" s="106" t="s">
        <v>438</v>
      </c>
      <c r="AQ25" s="106" t="s">
        <v>438</v>
      </c>
      <c r="AR25" s="106" t="s">
        <v>438</v>
      </c>
      <c r="AS25" s="106" t="s">
        <v>438</v>
      </c>
      <c r="AT25" s="106" t="s">
        <v>438</v>
      </c>
      <c r="AU25" s="106" t="s">
        <v>438</v>
      </c>
      <c r="AV25" s="106" t="s">
        <v>438</v>
      </c>
      <c r="AW25" s="106" t="s">
        <v>438</v>
      </c>
      <c r="AX25" s="106" t="s">
        <v>438</v>
      </c>
      <c r="AY25" s="106" t="s">
        <v>438</v>
      </c>
      <c r="AZ25" s="106" t="s">
        <v>438</v>
      </c>
      <c r="BA25" s="106" t="s">
        <v>438</v>
      </c>
      <c r="BB25" s="109">
        <v>2642309674</v>
      </c>
      <c r="BC25" s="106" t="s">
        <v>438</v>
      </c>
      <c r="BD25" s="109">
        <v>21853</v>
      </c>
      <c r="BE25" s="109">
        <v>1169449593</v>
      </c>
      <c r="BF25" s="109">
        <v>2696123</v>
      </c>
      <c r="BG25" s="106" t="s">
        <v>438</v>
      </c>
      <c r="BH25" s="106" t="s">
        <v>438</v>
      </c>
      <c r="BI25" s="106" t="s">
        <v>438</v>
      </c>
      <c r="BJ25" s="106" t="s">
        <v>438</v>
      </c>
      <c r="BK25" s="109">
        <v>1504672460</v>
      </c>
      <c r="BL25" s="106" t="s">
        <v>438</v>
      </c>
      <c r="BM25" s="106" t="s">
        <v>438</v>
      </c>
      <c r="BN25" s="106" t="s">
        <v>438</v>
      </c>
      <c r="BO25" s="106" t="s">
        <v>438</v>
      </c>
      <c r="BP25" s="106" t="s">
        <v>438</v>
      </c>
      <c r="BQ25" s="106" t="s">
        <v>438</v>
      </c>
      <c r="BR25" s="106" t="s">
        <v>438</v>
      </c>
      <c r="BS25" s="106" t="s">
        <v>438</v>
      </c>
      <c r="BT25" s="106" t="s">
        <v>438</v>
      </c>
      <c r="BU25" s="106" t="s">
        <v>438</v>
      </c>
      <c r="BV25" s="106" t="s">
        <v>438</v>
      </c>
      <c r="BW25" s="106" t="s">
        <v>438</v>
      </c>
      <c r="BX25" s="106" t="s">
        <v>438</v>
      </c>
      <c r="BY25" s="106" t="s">
        <v>438</v>
      </c>
      <c r="BZ25" s="106" t="s">
        <v>438</v>
      </c>
      <c r="CA25" s="106" t="s">
        <v>438</v>
      </c>
      <c r="CB25" s="106" t="s">
        <v>438</v>
      </c>
      <c r="CC25" s="106" t="s">
        <v>438</v>
      </c>
      <c r="CD25" s="106" t="s">
        <v>438</v>
      </c>
      <c r="CE25" s="106" t="s">
        <v>438</v>
      </c>
      <c r="CF25" s="106" t="s">
        <v>438</v>
      </c>
      <c r="CG25" s="106" t="s">
        <v>438</v>
      </c>
      <c r="CH25" s="106" t="s">
        <v>438</v>
      </c>
      <c r="CI25" s="106" t="s">
        <v>438</v>
      </c>
      <c r="CJ25" s="106" t="s">
        <v>438</v>
      </c>
      <c r="CK25" s="106" t="s">
        <v>438</v>
      </c>
      <c r="CL25" s="109">
        <v>1137637214</v>
      </c>
      <c r="CM25" s="106" t="s">
        <v>438</v>
      </c>
    </row>
    <row r="26" spans="1:91">
      <c r="A26" s="108" t="s">
        <v>457</v>
      </c>
      <c r="B26" s="106" t="s">
        <v>438</v>
      </c>
      <c r="C26" s="106" t="s">
        <v>438</v>
      </c>
      <c r="D26" s="106" t="s">
        <v>438</v>
      </c>
      <c r="E26" s="106" t="s">
        <v>438</v>
      </c>
      <c r="F26" s="106" t="s">
        <v>438</v>
      </c>
      <c r="G26" s="106" t="s">
        <v>438</v>
      </c>
      <c r="H26" s="106" t="s">
        <v>438</v>
      </c>
      <c r="I26" s="106" t="s">
        <v>438</v>
      </c>
      <c r="J26" s="106" t="s">
        <v>438</v>
      </c>
      <c r="K26" s="106" t="s">
        <v>438</v>
      </c>
      <c r="L26" s="106" t="s">
        <v>438</v>
      </c>
      <c r="M26" s="106" t="s">
        <v>438</v>
      </c>
      <c r="N26" s="106" t="s">
        <v>438</v>
      </c>
      <c r="O26" s="106" t="s">
        <v>438</v>
      </c>
      <c r="P26" s="106" t="s">
        <v>438</v>
      </c>
      <c r="Q26" s="106" t="s">
        <v>438</v>
      </c>
      <c r="R26" s="106" t="s">
        <v>438</v>
      </c>
      <c r="S26" s="106" t="s">
        <v>438</v>
      </c>
      <c r="T26" s="106" t="s">
        <v>438</v>
      </c>
      <c r="U26" s="106" t="s">
        <v>438</v>
      </c>
      <c r="V26" s="106" t="s">
        <v>438</v>
      </c>
      <c r="W26" s="106" t="s">
        <v>438</v>
      </c>
      <c r="X26" s="106" t="s">
        <v>438</v>
      </c>
      <c r="Y26" s="106" t="s">
        <v>438</v>
      </c>
      <c r="Z26" s="106" t="s">
        <v>438</v>
      </c>
      <c r="AA26" s="106" t="s">
        <v>438</v>
      </c>
      <c r="AB26" s="106" t="s">
        <v>438</v>
      </c>
      <c r="AC26" s="106" t="s">
        <v>438</v>
      </c>
      <c r="AD26" s="106" t="s">
        <v>438</v>
      </c>
      <c r="AE26" s="106" t="s">
        <v>438</v>
      </c>
      <c r="AF26" s="106" t="s">
        <v>438</v>
      </c>
      <c r="AG26" s="106" t="s">
        <v>438</v>
      </c>
      <c r="AH26" s="106" t="s">
        <v>438</v>
      </c>
      <c r="AI26" s="106" t="s">
        <v>438</v>
      </c>
      <c r="AJ26" s="106" t="s">
        <v>438</v>
      </c>
      <c r="AK26" s="106" t="s">
        <v>438</v>
      </c>
      <c r="AL26" s="106" t="s">
        <v>438</v>
      </c>
      <c r="AM26" s="106" t="s">
        <v>438</v>
      </c>
      <c r="AN26" s="106" t="s">
        <v>438</v>
      </c>
      <c r="AO26" s="106" t="s">
        <v>438</v>
      </c>
      <c r="AP26" s="106" t="s">
        <v>438</v>
      </c>
      <c r="AQ26" s="106" t="s">
        <v>438</v>
      </c>
      <c r="AR26" s="106" t="s">
        <v>438</v>
      </c>
      <c r="AS26" s="106" t="s">
        <v>438</v>
      </c>
      <c r="AT26" s="106" t="s">
        <v>438</v>
      </c>
      <c r="AU26" s="106" t="s">
        <v>438</v>
      </c>
      <c r="AV26" s="106" t="s">
        <v>438</v>
      </c>
      <c r="AW26" s="106" t="s">
        <v>438</v>
      </c>
      <c r="AX26" s="106" t="s">
        <v>438</v>
      </c>
      <c r="AY26" s="106" t="s">
        <v>438</v>
      </c>
      <c r="AZ26" s="106" t="s">
        <v>438</v>
      </c>
      <c r="BA26" s="106" t="s">
        <v>438</v>
      </c>
      <c r="BB26" s="109">
        <v>3253378760</v>
      </c>
      <c r="BC26" s="106" t="s">
        <v>438</v>
      </c>
      <c r="BD26" s="109">
        <v>24023</v>
      </c>
      <c r="BE26" s="109">
        <v>1427645607</v>
      </c>
      <c r="BF26" s="109">
        <v>2965290</v>
      </c>
      <c r="BG26" s="106" t="s">
        <v>438</v>
      </c>
      <c r="BH26" s="106" t="s">
        <v>438</v>
      </c>
      <c r="BI26" s="106" t="s">
        <v>438</v>
      </c>
      <c r="BJ26" s="106" t="s">
        <v>438</v>
      </c>
      <c r="BK26" s="109">
        <v>1782480840</v>
      </c>
      <c r="BL26" s="106" t="s">
        <v>438</v>
      </c>
      <c r="BM26" s="106" t="s">
        <v>438</v>
      </c>
      <c r="BN26" s="106" t="s">
        <v>438</v>
      </c>
      <c r="BO26" s="106" t="s">
        <v>438</v>
      </c>
      <c r="BP26" s="106" t="s">
        <v>438</v>
      </c>
      <c r="BQ26" s="106" t="s">
        <v>438</v>
      </c>
      <c r="BR26" s="106" t="s">
        <v>438</v>
      </c>
      <c r="BS26" s="106" t="s">
        <v>438</v>
      </c>
      <c r="BT26" s="106" t="s">
        <v>438</v>
      </c>
      <c r="BU26" s="106" t="s">
        <v>438</v>
      </c>
      <c r="BV26" s="106" t="s">
        <v>438</v>
      </c>
      <c r="BW26" s="106" t="s">
        <v>438</v>
      </c>
      <c r="BX26" s="106" t="s">
        <v>438</v>
      </c>
      <c r="BY26" s="106" t="s">
        <v>438</v>
      </c>
      <c r="BZ26" s="106" t="s">
        <v>438</v>
      </c>
      <c r="CA26" s="106" t="s">
        <v>438</v>
      </c>
      <c r="CB26" s="106" t="s">
        <v>438</v>
      </c>
      <c r="CC26" s="106" t="s">
        <v>438</v>
      </c>
      <c r="CD26" s="106" t="s">
        <v>438</v>
      </c>
      <c r="CE26" s="106" t="s">
        <v>438</v>
      </c>
      <c r="CF26" s="106" t="s">
        <v>438</v>
      </c>
      <c r="CG26" s="106" t="s">
        <v>438</v>
      </c>
      <c r="CH26" s="106" t="s">
        <v>438</v>
      </c>
      <c r="CI26" s="106" t="s">
        <v>438</v>
      </c>
      <c r="CJ26" s="106" t="s">
        <v>438</v>
      </c>
      <c r="CK26" s="106" t="s">
        <v>438</v>
      </c>
      <c r="CL26" s="109">
        <v>1470897920</v>
      </c>
      <c r="CM26" s="106" t="s">
        <v>438</v>
      </c>
    </row>
    <row r="27" spans="1:91">
      <c r="A27" s="108" t="s">
        <v>458</v>
      </c>
      <c r="B27" s="106" t="s">
        <v>438</v>
      </c>
      <c r="C27" s="106" t="s">
        <v>438</v>
      </c>
      <c r="D27" s="106" t="s">
        <v>438</v>
      </c>
      <c r="E27" s="106" t="s">
        <v>438</v>
      </c>
      <c r="F27" s="106" t="s">
        <v>438</v>
      </c>
      <c r="G27" s="106" t="s">
        <v>438</v>
      </c>
      <c r="H27" s="106" t="s">
        <v>438</v>
      </c>
      <c r="I27" s="106" t="s">
        <v>438</v>
      </c>
      <c r="J27" s="106" t="s">
        <v>438</v>
      </c>
      <c r="K27" s="106" t="s">
        <v>438</v>
      </c>
      <c r="L27" s="106" t="s">
        <v>438</v>
      </c>
      <c r="M27" s="106" t="s">
        <v>438</v>
      </c>
      <c r="N27" s="106" t="s">
        <v>438</v>
      </c>
      <c r="O27" s="106" t="s">
        <v>438</v>
      </c>
      <c r="P27" s="106" t="s">
        <v>438</v>
      </c>
      <c r="Q27" s="106" t="s">
        <v>438</v>
      </c>
      <c r="R27" s="106" t="s">
        <v>438</v>
      </c>
      <c r="S27" s="106" t="s">
        <v>438</v>
      </c>
      <c r="T27" s="106" t="s">
        <v>438</v>
      </c>
      <c r="U27" s="106" t="s">
        <v>438</v>
      </c>
      <c r="V27" s="106" t="s">
        <v>438</v>
      </c>
      <c r="W27" s="106" t="s">
        <v>438</v>
      </c>
      <c r="X27" s="106" t="s">
        <v>438</v>
      </c>
      <c r="Y27" s="106" t="s">
        <v>438</v>
      </c>
      <c r="Z27" s="106" t="s">
        <v>438</v>
      </c>
      <c r="AA27" s="106" t="s">
        <v>438</v>
      </c>
      <c r="AB27" s="106" t="s">
        <v>438</v>
      </c>
      <c r="AC27" s="106" t="s">
        <v>438</v>
      </c>
      <c r="AD27" s="106" t="s">
        <v>438</v>
      </c>
      <c r="AE27" s="106" t="s">
        <v>438</v>
      </c>
      <c r="AF27" s="106" t="s">
        <v>438</v>
      </c>
      <c r="AG27" s="106" t="s">
        <v>438</v>
      </c>
      <c r="AH27" s="106" t="s">
        <v>438</v>
      </c>
      <c r="AI27" s="106" t="s">
        <v>438</v>
      </c>
      <c r="AJ27" s="106" t="s">
        <v>438</v>
      </c>
      <c r="AK27" s="106" t="s">
        <v>438</v>
      </c>
      <c r="AL27" s="106" t="s">
        <v>438</v>
      </c>
      <c r="AM27" s="106" t="s">
        <v>438</v>
      </c>
      <c r="AN27" s="106" t="s">
        <v>438</v>
      </c>
      <c r="AO27" s="106" t="s">
        <v>438</v>
      </c>
      <c r="AP27" s="106" t="s">
        <v>438</v>
      </c>
      <c r="AQ27" s="106" t="s">
        <v>438</v>
      </c>
      <c r="AR27" s="106" t="s">
        <v>438</v>
      </c>
      <c r="AS27" s="106" t="s">
        <v>438</v>
      </c>
      <c r="AT27" s="106" t="s">
        <v>438</v>
      </c>
      <c r="AU27" s="106" t="s">
        <v>438</v>
      </c>
      <c r="AV27" s="106" t="s">
        <v>438</v>
      </c>
      <c r="AW27" s="106" t="s">
        <v>438</v>
      </c>
      <c r="AX27" s="106" t="s">
        <v>438</v>
      </c>
      <c r="AY27" s="106" t="s">
        <v>438</v>
      </c>
      <c r="AZ27" s="106" t="s">
        <v>438</v>
      </c>
      <c r="BA27" s="106" t="s">
        <v>438</v>
      </c>
      <c r="BB27" s="109">
        <v>3450866062</v>
      </c>
      <c r="BC27" s="106" t="s">
        <v>438</v>
      </c>
      <c r="BD27" s="109">
        <v>20307</v>
      </c>
      <c r="BE27" s="109">
        <v>1332036279</v>
      </c>
      <c r="BF27" s="109">
        <v>2550847</v>
      </c>
      <c r="BG27" s="106" t="s">
        <v>438</v>
      </c>
      <c r="BH27" s="106" t="s">
        <v>438</v>
      </c>
      <c r="BI27" s="106" t="s">
        <v>438</v>
      </c>
      <c r="BJ27" s="106" t="s">
        <v>438</v>
      </c>
      <c r="BK27" s="109">
        <v>1732456056</v>
      </c>
      <c r="BL27" s="106" t="s">
        <v>438</v>
      </c>
      <c r="BM27" s="106" t="s">
        <v>438</v>
      </c>
      <c r="BN27" s="106" t="s">
        <v>438</v>
      </c>
      <c r="BO27" s="106" t="s">
        <v>438</v>
      </c>
      <c r="BP27" s="106" t="s">
        <v>438</v>
      </c>
      <c r="BQ27" s="106" t="s">
        <v>438</v>
      </c>
      <c r="BR27" s="106" t="s">
        <v>438</v>
      </c>
      <c r="BS27" s="106" t="s">
        <v>438</v>
      </c>
      <c r="BT27" s="106" t="s">
        <v>438</v>
      </c>
      <c r="BU27" s="106" t="s">
        <v>438</v>
      </c>
      <c r="BV27" s="106" t="s">
        <v>438</v>
      </c>
      <c r="BW27" s="106" t="s">
        <v>438</v>
      </c>
      <c r="BX27" s="106" t="s">
        <v>438</v>
      </c>
      <c r="BY27" s="106" t="s">
        <v>438</v>
      </c>
      <c r="BZ27" s="106" t="s">
        <v>438</v>
      </c>
      <c r="CA27" s="106" t="s">
        <v>438</v>
      </c>
      <c r="CB27" s="106" t="s">
        <v>438</v>
      </c>
      <c r="CC27" s="106" t="s">
        <v>438</v>
      </c>
      <c r="CD27" s="106" t="s">
        <v>438</v>
      </c>
      <c r="CE27" s="106" t="s">
        <v>438</v>
      </c>
      <c r="CF27" s="106" t="s">
        <v>438</v>
      </c>
      <c r="CG27" s="106" t="s">
        <v>438</v>
      </c>
      <c r="CH27" s="106" t="s">
        <v>438</v>
      </c>
      <c r="CI27" s="106" t="s">
        <v>438</v>
      </c>
      <c r="CJ27" s="106" t="s">
        <v>438</v>
      </c>
      <c r="CK27" s="106" t="s">
        <v>438</v>
      </c>
      <c r="CL27" s="109">
        <v>1718410006</v>
      </c>
      <c r="CM27" s="106" t="s">
        <v>438</v>
      </c>
    </row>
    <row r="28" spans="1:91">
      <c r="A28" s="108" t="s">
        <v>459</v>
      </c>
      <c r="B28" s="106" t="s">
        <v>438</v>
      </c>
      <c r="C28" s="106" t="s">
        <v>438</v>
      </c>
      <c r="D28" s="106" t="s">
        <v>438</v>
      </c>
      <c r="E28" s="106" t="s">
        <v>438</v>
      </c>
      <c r="F28" s="106" t="s">
        <v>438</v>
      </c>
      <c r="G28" s="106" t="s">
        <v>438</v>
      </c>
      <c r="H28" s="106" t="s">
        <v>438</v>
      </c>
      <c r="I28" s="106" t="s">
        <v>438</v>
      </c>
      <c r="J28" s="106" t="s">
        <v>438</v>
      </c>
      <c r="K28" s="106" t="s">
        <v>438</v>
      </c>
      <c r="L28" s="106" t="s">
        <v>438</v>
      </c>
      <c r="M28" s="106" t="s">
        <v>438</v>
      </c>
      <c r="N28" s="106" t="s">
        <v>438</v>
      </c>
      <c r="O28" s="106" t="s">
        <v>438</v>
      </c>
      <c r="P28" s="106" t="s">
        <v>438</v>
      </c>
      <c r="Q28" s="106" t="s">
        <v>438</v>
      </c>
      <c r="R28" s="106" t="s">
        <v>438</v>
      </c>
      <c r="S28" s="106" t="s">
        <v>438</v>
      </c>
      <c r="T28" s="106" t="s">
        <v>438</v>
      </c>
      <c r="U28" s="106" t="s">
        <v>438</v>
      </c>
      <c r="V28" s="106" t="s">
        <v>438</v>
      </c>
      <c r="W28" s="106" t="s">
        <v>438</v>
      </c>
      <c r="X28" s="106" t="s">
        <v>438</v>
      </c>
      <c r="Y28" s="106" t="s">
        <v>438</v>
      </c>
      <c r="Z28" s="106" t="s">
        <v>438</v>
      </c>
      <c r="AA28" s="106" t="s">
        <v>438</v>
      </c>
      <c r="AB28" s="106" t="s">
        <v>438</v>
      </c>
      <c r="AC28" s="106" t="s">
        <v>438</v>
      </c>
      <c r="AD28" s="106" t="s">
        <v>438</v>
      </c>
      <c r="AE28" s="106" t="s">
        <v>438</v>
      </c>
      <c r="AF28" s="106" t="s">
        <v>438</v>
      </c>
      <c r="AG28" s="106" t="s">
        <v>438</v>
      </c>
      <c r="AH28" s="106" t="s">
        <v>438</v>
      </c>
      <c r="AI28" s="106" t="s">
        <v>438</v>
      </c>
      <c r="AJ28" s="106" t="s">
        <v>438</v>
      </c>
      <c r="AK28" s="106" t="s">
        <v>438</v>
      </c>
      <c r="AL28" s="106" t="s">
        <v>438</v>
      </c>
      <c r="AM28" s="106" t="s">
        <v>438</v>
      </c>
      <c r="AN28" s="106" t="s">
        <v>438</v>
      </c>
      <c r="AO28" s="106" t="s">
        <v>438</v>
      </c>
      <c r="AP28" s="106" t="s">
        <v>438</v>
      </c>
      <c r="AQ28" s="106" t="s">
        <v>438</v>
      </c>
      <c r="AR28" s="106" t="s">
        <v>438</v>
      </c>
      <c r="AS28" s="106" t="s">
        <v>438</v>
      </c>
      <c r="AT28" s="106" t="s">
        <v>438</v>
      </c>
      <c r="AU28" s="106" t="s">
        <v>438</v>
      </c>
      <c r="AV28" s="106" t="s">
        <v>438</v>
      </c>
      <c r="AW28" s="106" t="s">
        <v>438</v>
      </c>
      <c r="AX28" s="106" t="s">
        <v>438</v>
      </c>
      <c r="AY28" s="106" t="s">
        <v>438</v>
      </c>
      <c r="AZ28" s="106" t="s">
        <v>438</v>
      </c>
      <c r="BA28" s="106" t="s">
        <v>438</v>
      </c>
      <c r="BB28" s="109">
        <v>4491362171</v>
      </c>
      <c r="BC28" s="106" t="s">
        <v>438</v>
      </c>
      <c r="BD28" s="109">
        <v>19646</v>
      </c>
      <c r="BE28" s="109">
        <v>1526742061</v>
      </c>
      <c r="BF28" s="109">
        <v>2487991</v>
      </c>
      <c r="BG28" s="106" t="s">
        <v>438</v>
      </c>
      <c r="BH28" s="106" t="s">
        <v>438</v>
      </c>
      <c r="BI28" s="106" t="s">
        <v>438</v>
      </c>
      <c r="BJ28" s="106" t="s">
        <v>438</v>
      </c>
      <c r="BK28" s="109">
        <v>1936727784</v>
      </c>
      <c r="BL28" s="106" t="s">
        <v>438</v>
      </c>
      <c r="BM28" s="106" t="s">
        <v>438</v>
      </c>
      <c r="BN28" s="106" t="s">
        <v>438</v>
      </c>
      <c r="BO28" s="106" t="s">
        <v>438</v>
      </c>
      <c r="BP28" s="106" t="s">
        <v>438</v>
      </c>
      <c r="BQ28" s="106" t="s">
        <v>438</v>
      </c>
      <c r="BR28" s="106" t="s">
        <v>438</v>
      </c>
      <c r="BS28" s="106" t="s">
        <v>438</v>
      </c>
      <c r="BT28" s="106" t="s">
        <v>438</v>
      </c>
      <c r="BU28" s="106" t="s">
        <v>438</v>
      </c>
      <c r="BV28" s="106" t="s">
        <v>438</v>
      </c>
      <c r="BW28" s="106" t="s">
        <v>438</v>
      </c>
      <c r="BX28" s="106" t="s">
        <v>438</v>
      </c>
      <c r="BY28" s="106" t="s">
        <v>438</v>
      </c>
      <c r="BZ28" s="106" t="s">
        <v>438</v>
      </c>
      <c r="CA28" s="106" t="s">
        <v>438</v>
      </c>
      <c r="CB28" s="106" t="s">
        <v>438</v>
      </c>
      <c r="CC28" s="106" t="s">
        <v>438</v>
      </c>
      <c r="CD28" s="106" t="s">
        <v>438</v>
      </c>
      <c r="CE28" s="106" t="s">
        <v>438</v>
      </c>
      <c r="CF28" s="106" t="s">
        <v>438</v>
      </c>
      <c r="CG28" s="106" t="s">
        <v>438</v>
      </c>
      <c r="CH28" s="106" t="s">
        <v>438</v>
      </c>
      <c r="CI28" s="106" t="s">
        <v>438</v>
      </c>
      <c r="CJ28" s="106" t="s">
        <v>438</v>
      </c>
      <c r="CK28" s="106" t="s">
        <v>438</v>
      </c>
      <c r="CL28" s="109">
        <v>2554634387</v>
      </c>
      <c r="CM28" s="106" t="s">
        <v>438</v>
      </c>
    </row>
    <row r="29" spans="1:91">
      <c r="A29" s="108" t="s">
        <v>460</v>
      </c>
      <c r="B29" s="106" t="s">
        <v>438</v>
      </c>
      <c r="C29" s="106" t="s">
        <v>438</v>
      </c>
      <c r="D29" s="106" t="s">
        <v>438</v>
      </c>
      <c r="E29" s="106" t="s">
        <v>438</v>
      </c>
      <c r="F29" s="106" t="s">
        <v>438</v>
      </c>
      <c r="G29" s="106" t="s">
        <v>438</v>
      </c>
      <c r="H29" s="106" t="s">
        <v>438</v>
      </c>
      <c r="I29" s="106" t="s">
        <v>438</v>
      </c>
      <c r="J29" s="106" t="s">
        <v>438</v>
      </c>
      <c r="K29" s="106" t="s">
        <v>438</v>
      </c>
      <c r="L29" s="106" t="s">
        <v>438</v>
      </c>
      <c r="M29" s="106" t="s">
        <v>438</v>
      </c>
      <c r="N29" s="106" t="s">
        <v>438</v>
      </c>
      <c r="O29" s="106" t="s">
        <v>438</v>
      </c>
      <c r="P29" s="106" t="s">
        <v>438</v>
      </c>
      <c r="Q29" s="106" t="s">
        <v>438</v>
      </c>
      <c r="R29" s="106" t="s">
        <v>438</v>
      </c>
      <c r="S29" s="106" t="s">
        <v>438</v>
      </c>
      <c r="T29" s="106" t="s">
        <v>438</v>
      </c>
      <c r="U29" s="106" t="s">
        <v>438</v>
      </c>
      <c r="V29" s="106" t="s">
        <v>438</v>
      </c>
      <c r="W29" s="106" t="s">
        <v>438</v>
      </c>
      <c r="X29" s="106" t="s">
        <v>438</v>
      </c>
      <c r="Y29" s="106" t="s">
        <v>438</v>
      </c>
      <c r="Z29" s="106" t="s">
        <v>438</v>
      </c>
      <c r="AA29" s="106" t="s">
        <v>438</v>
      </c>
      <c r="AB29" s="106" t="s">
        <v>438</v>
      </c>
      <c r="AC29" s="106" t="s">
        <v>438</v>
      </c>
      <c r="AD29" s="106" t="s">
        <v>438</v>
      </c>
      <c r="AE29" s="106" t="s">
        <v>438</v>
      </c>
      <c r="AF29" s="106" t="s">
        <v>438</v>
      </c>
      <c r="AG29" s="106" t="s">
        <v>438</v>
      </c>
      <c r="AH29" s="106" t="s">
        <v>438</v>
      </c>
      <c r="AI29" s="106" t="s">
        <v>438</v>
      </c>
      <c r="AJ29" s="106" t="s">
        <v>438</v>
      </c>
      <c r="AK29" s="106" t="s">
        <v>438</v>
      </c>
      <c r="AL29" s="106" t="s">
        <v>438</v>
      </c>
      <c r="AM29" s="106" t="s">
        <v>438</v>
      </c>
      <c r="AN29" s="106" t="s">
        <v>438</v>
      </c>
      <c r="AO29" s="106" t="s">
        <v>438</v>
      </c>
      <c r="AP29" s="106" t="s">
        <v>438</v>
      </c>
      <c r="AQ29" s="106" t="s">
        <v>438</v>
      </c>
      <c r="AR29" s="106" t="s">
        <v>438</v>
      </c>
      <c r="AS29" s="106" t="s">
        <v>438</v>
      </c>
      <c r="AT29" s="106" t="s">
        <v>438</v>
      </c>
      <c r="AU29" s="106" t="s">
        <v>438</v>
      </c>
      <c r="AV29" s="106" t="s">
        <v>438</v>
      </c>
      <c r="AW29" s="106" t="s">
        <v>438</v>
      </c>
      <c r="AX29" s="106" t="s">
        <v>438</v>
      </c>
      <c r="AY29" s="106" t="s">
        <v>438</v>
      </c>
      <c r="AZ29" s="106" t="s">
        <v>438</v>
      </c>
      <c r="BA29" s="106" t="s">
        <v>438</v>
      </c>
      <c r="BB29" s="109">
        <v>4334309506</v>
      </c>
      <c r="BC29" s="106" t="s">
        <v>438</v>
      </c>
      <c r="BD29" s="109">
        <v>19084</v>
      </c>
      <c r="BE29" s="109">
        <v>1565986890</v>
      </c>
      <c r="BF29" s="109">
        <v>2398656</v>
      </c>
      <c r="BG29" s="106" t="s">
        <v>438</v>
      </c>
      <c r="BH29" s="106" t="s">
        <v>438</v>
      </c>
      <c r="BI29" s="106" t="s">
        <v>438</v>
      </c>
      <c r="BJ29" s="106" t="s">
        <v>438</v>
      </c>
      <c r="BK29" s="109">
        <v>2034582063</v>
      </c>
      <c r="BL29" s="106" t="s">
        <v>438</v>
      </c>
      <c r="BM29" s="106" t="s">
        <v>438</v>
      </c>
      <c r="BN29" s="106" t="s">
        <v>438</v>
      </c>
      <c r="BO29" s="106" t="s">
        <v>438</v>
      </c>
      <c r="BP29" s="106" t="s">
        <v>438</v>
      </c>
      <c r="BQ29" s="106" t="s">
        <v>438</v>
      </c>
      <c r="BR29" s="106" t="s">
        <v>438</v>
      </c>
      <c r="BS29" s="106" t="s">
        <v>438</v>
      </c>
      <c r="BT29" s="106" t="s">
        <v>438</v>
      </c>
      <c r="BU29" s="106" t="s">
        <v>438</v>
      </c>
      <c r="BV29" s="106" t="s">
        <v>438</v>
      </c>
      <c r="BW29" s="106" t="s">
        <v>438</v>
      </c>
      <c r="BX29" s="106" t="s">
        <v>438</v>
      </c>
      <c r="BY29" s="106" t="s">
        <v>438</v>
      </c>
      <c r="BZ29" s="106" t="s">
        <v>438</v>
      </c>
      <c r="CA29" s="106" t="s">
        <v>438</v>
      </c>
      <c r="CB29" s="106" t="s">
        <v>438</v>
      </c>
      <c r="CC29" s="106" t="s">
        <v>438</v>
      </c>
      <c r="CD29" s="106" t="s">
        <v>438</v>
      </c>
      <c r="CE29" s="106" t="s">
        <v>438</v>
      </c>
      <c r="CF29" s="106" t="s">
        <v>438</v>
      </c>
      <c r="CG29" s="106" t="s">
        <v>438</v>
      </c>
      <c r="CH29" s="106" t="s">
        <v>438</v>
      </c>
      <c r="CI29" s="106" t="s">
        <v>438</v>
      </c>
      <c r="CJ29" s="106" t="s">
        <v>438</v>
      </c>
      <c r="CK29" s="106" t="s">
        <v>438</v>
      </c>
      <c r="CL29" s="109">
        <v>2299727443</v>
      </c>
      <c r="CM29" s="106" t="s">
        <v>438</v>
      </c>
    </row>
    <row r="30" spans="1:91">
      <c r="A30" s="108" t="s">
        <v>461</v>
      </c>
      <c r="B30" s="106" t="s">
        <v>438</v>
      </c>
      <c r="C30" s="106" t="s">
        <v>438</v>
      </c>
      <c r="D30" s="106" t="s">
        <v>438</v>
      </c>
      <c r="E30" s="106" t="s">
        <v>438</v>
      </c>
      <c r="F30" s="106" t="s">
        <v>438</v>
      </c>
      <c r="G30" s="106" t="s">
        <v>438</v>
      </c>
      <c r="H30" s="106" t="s">
        <v>438</v>
      </c>
      <c r="I30" s="106" t="s">
        <v>438</v>
      </c>
      <c r="J30" s="106" t="s">
        <v>438</v>
      </c>
      <c r="K30" s="106" t="s">
        <v>438</v>
      </c>
      <c r="L30" s="106" t="s">
        <v>438</v>
      </c>
      <c r="M30" s="106" t="s">
        <v>438</v>
      </c>
      <c r="N30" s="106" t="s">
        <v>438</v>
      </c>
      <c r="O30" s="106" t="s">
        <v>438</v>
      </c>
      <c r="P30" s="106" t="s">
        <v>438</v>
      </c>
      <c r="Q30" s="106" t="s">
        <v>438</v>
      </c>
      <c r="R30" s="106" t="s">
        <v>438</v>
      </c>
      <c r="S30" s="106" t="s">
        <v>438</v>
      </c>
      <c r="T30" s="106" t="s">
        <v>438</v>
      </c>
      <c r="U30" s="106" t="s">
        <v>438</v>
      </c>
      <c r="V30" s="106" t="s">
        <v>438</v>
      </c>
      <c r="W30" s="106" t="s">
        <v>438</v>
      </c>
      <c r="X30" s="106" t="s">
        <v>438</v>
      </c>
      <c r="Y30" s="106" t="s">
        <v>438</v>
      </c>
      <c r="Z30" s="106" t="s">
        <v>438</v>
      </c>
      <c r="AA30" s="106" t="s">
        <v>438</v>
      </c>
      <c r="AB30" s="106" t="s">
        <v>438</v>
      </c>
      <c r="AC30" s="106" t="s">
        <v>438</v>
      </c>
      <c r="AD30" s="106" t="s">
        <v>438</v>
      </c>
      <c r="AE30" s="106" t="s">
        <v>438</v>
      </c>
      <c r="AF30" s="106" t="s">
        <v>438</v>
      </c>
      <c r="AG30" s="106" t="s">
        <v>438</v>
      </c>
      <c r="AH30" s="106" t="s">
        <v>438</v>
      </c>
      <c r="AI30" s="106" t="s">
        <v>438</v>
      </c>
      <c r="AJ30" s="106" t="s">
        <v>438</v>
      </c>
      <c r="AK30" s="106" t="s">
        <v>438</v>
      </c>
      <c r="AL30" s="106" t="s">
        <v>438</v>
      </c>
      <c r="AM30" s="106" t="s">
        <v>438</v>
      </c>
      <c r="AN30" s="106" t="s">
        <v>438</v>
      </c>
      <c r="AO30" s="106" t="s">
        <v>438</v>
      </c>
      <c r="AP30" s="106" t="s">
        <v>438</v>
      </c>
      <c r="AQ30" s="106" t="s">
        <v>438</v>
      </c>
      <c r="AR30" s="106" t="s">
        <v>438</v>
      </c>
      <c r="AS30" s="106" t="s">
        <v>438</v>
      </c>
      <c r="AT30" s="106" t="s">
        <v>438</v>
      </c>
      <c r="AU30" s="106" t="s">
        <v>438</v>
      </c>
      <c r="AV30" s="106" t="s">
        <v>438</v>
      </c>
      <c r="AW30" s="106" t="s">
        <v>438</v>
      </c>
      <c r="AX30" s="106" t="s">
        <v>438</v>
      </c>
      <c r="AY30" s="106" t="s">
        <v>438</v>
      </c>
      <c r="AZ30" s="106" t="s">
        <v>438</v>
      </c>
      <c r="BA30" s="106" t="s">
        <v>438</v>
      </c>
      <c r="BB30" s="109">
        <v>3817150801</v>
      </c>
      <c r="BC30" s="106" t="s">
        <v>438</v>
      </c>
      <c r="BD30" s="109">
        <v>22262</v>
      </c>
      <c r="BE30" s="109">
        <v>1944246064</v>
      </c>
      <c r="BF30" s="109">
        <v>2891820</v>
      </c>
      <c r="BG30" s="106" t="s">
        <v>438</v>
      </c>
      <c r="BH30" s="106" t="s">
        <v>438</v>
      </c>
      <c r="BI30" s="106" t="s">
        <v>438</v>
      </c>
      <c r="BJ30" s="106" t="s">
        <v>438</v>
      </c>
      <c r="BK30" s="109">
        <v>2448580775</v>
      </c>
      <c r="BL30" s="106" t="s">
        <v>438</v>
      </c>
      <c r="BM30" s="106" t="s">
        <v>438</v>
      </c>
      <c r="BN30" s="106" t="s">
        <v>438</v>
      </c>
      <c r="BO30" s="106" t="s">
        <v>438</v>
      </c>
      <c r="BP30" s="106" t="s">
        <v>438</v>
      </c>
      <c r="BQ30" s="106" t="s">
        <v>438</v>
      </c>
      <c r="BR30" s="106" t="s">
        <v>438</v>
      </c>
      <c r="BS30" s="106" t="s">
        <v>438</v>
      </c>
      <c r="BT30" s="106" t="s">
        <v>438</v>
      </c>
      <c r="BU30" s="106" t="s">
        <v>438</v>
      </c>
      <c r="BV30" s="106" t="s">
        <v>438</v>
      </c>
      <c r="BW30" s="106" t="s">
        <v>438</v>
      </c>
      <c r="BX30" s="106" t="s">
        <v>438</v>
      </c>
      <c r="BY30" s="106" t="s">
        <v>438</v>
      </c>
      <c r="BZ30" s="106" t="s">
        <v>438</v>
      </c>
      <c r="CA30" s="106" t="s">
        <v>438</v>
      </c>
      <c r="CB30" s="106" t="s">
        <v>438</v>
      </c>
      <c r="CC30" s="106" t="s">
        <v>438</v>
      </c>
      <c r="CD30" s="106" t="s">
        <v>438</v>
      </c>
      <c r="CE30" s="106" t="s">
        <v>438</v>
      </c>
      <c r="CF30" s="106" t="s">
        <v>438</v>
      </c>
      <c r="CG30" s="106" t="s">
        <v>438</v>
      </c>
      <c r="CH30" s="106" t="s">
        <v>438</v>
      </c>
      <c r="CI30" s="106" t="s">
        <v>438</v>
      </c>
      <c r="CJ30" s="106" t="s">
        <v>438</v>
      </c>
      <c r="CK30" s="106" t="s">
        <v>438</v>
      </c>
      <c r="CL30" s="109">
        <v>1368570026</v>
      </c>
      <c r="CM30" s="106" t="s">
        <v>438</v>
      </c>
    </row>
    <row r="31" spans="1:91">
      <c r="A31" s="108" t="s">
        <v>462</v>
      </c>
      <c r="B31" s="106" t="s">
        <v>438</v>
      </c>
      <c r="C31" s="106" t="s">
        <v>438</v>
      </c>
      <c r="D31" s="106" t="s">
        <v>438</v>
      </c>
      <c r="E31" s="106" t="s">
        <v>438</v>
      </c>
      <c r="F31" s="106" t="s">
        <v>438</v>
      </c>
      <c r="G31" s="106" t="s">
        <v>438</v>
      </c>
      <c r="H31" s="106" t="s">
        <v>438</v>
      </c>
      <c r="I31" s="106" t="s">
        <v>438</v>
      </c>
      <c r="J31" s="106" t="s">
        <v>438</v>
      </c>
      <c r="K31" s="106" t="s">
        <v>438</v>
      </c>
      <c r="L31" s="106" t="s">
        <v>438</v>
      </c>
      <c r="M31" s="106" t="s">
        <v>438</v>
      </c>
      <c r="N31" s="106" t="s">
        <v>438</v>
      </c>
      <c r="O31" s="106" t="s">
        <v>438</v>
      </c>
      <c r="P31" s="106" t="s">
        <v>438</v>
      </c>
      <c r="Q31" s="106" t="s">
        <v>438</v>
      </c>
      <c r="R31" s="106" t="s">
        <v>438</v>
      </c>
      <c r="S31" s="106" t="s">
        <v>438</v>
      </c>
      <c r="T31" s="106" t="s">
        <v>438</v>
      </c>
      <c r="U31" s="106" t="s">
        <v>438</v>
      </c>
      <c r="V31" s="106" t="s">
        <v>438</v>
      </c>
      <c r="W31" s="106" t="s">
        <v>438</v>
      </c>
      <c r="X31" s="106" t="s">
        <v>438</v>
      </c>
      <c r="Y31" s="106" t="s">
        <v>438</v>
      </c>
      <c r="Z31" s="106" t="s">
        <v>438</v>
      </c>
      <c r="AA31" s="106" t="s">
        <v>438</v>
      </c>
      <c r="AB31" s="106" t="s">
        <v>438</v>
      </c>
      <c r="AC31" s="106" t="s">
        <v>438</v>
      </c>
      <c r="AD31" s="106" t="s">
        <v>438</v>
      </c>
      <c r="AE31" s="106" t="s">
        <v>438</v>
      </c>
      <c r="AF31" s="106" t="s">
        <v>438</v>
      </c>
      <c r="AG31" s="106" t="s">
        <v>438</v>
      </c>
      <c r="AH31" s="106" t="s">
        <v>438</v>
      </c>
      <c r="AI31" s="106" t="s">
        <v>438</v>
      </c>
      <c r="AJ31" s="106" t="s">
        <v>438</v>
      </c>
      <c r="AK31" s="106" t="s">
        <v>438</v>
      </c>
      <c r="AL31" s="106" t="s">
        <v>438</v>
      </c>
      <c r="AM31" s="106" t="s">
        <v>438</v>
      </c>
      <c r="AN31" s="106" t="s">
        <v>438</v>
      </c>
      <c r="AO31" s="106" t="s">
        <v>438</v>
      </c>
      <c r="AP31" s="106" t="s">
        <v>438</v>
      </c>
      <c r="AQ31" s="106" t="s">
        <v>438</v>
      </c>
      <c r="AR31" s="106" t="s">
        <v>438</v>
      </c>
      <c r="AS31" s="106" t="s">
        <v>438</v>
      </c>
      <c r="AT31" s="106" t="s">
        <v>438</v>
      </c>
      <c r="AU31" s="106" t="s">
        <v>438</v>
      </c>
      <c r="AV31" s="106" t="s">
        <v>438</v>
      </c>
      <c r="AW31" s="106" t="s">
        <v>438</v>
      </c>
      <c r="AX31" s="106" t="s">
        <v>438</v>
      </c>
      <c r="AY31" s="106" t="s">
        <v>438</v>
      </c>
      <c r="AZ31" s="106" t="s">
        <v>438</v>
      </c>
      <c r="BA31" s="106" t="s">
        <v>438</v>
      </c>
      <c r="BB31" s="109">
        <v>3764245373</v>
      </c>
      <c r="BC31" s="106" t="s">
        <v>438</v>
      </c>
      <c r="BD31" s="109">
        <v>22116</v>
      </c>
      <c r="BE31" s="109">
        <v>2103261139</v>
      </c>
      <c r="BF31" s="109">
        <v>2998740</v>
      </c>
      <c r="BG31" s="106" t="s">
        <v>438</v>
      </c>
      <c r="BH31" s="106" t="s">
        <v>438</v>
      </c>
      <c r="BI31" s="106" t="s">
        <v>438</v>
      </c>
      <c r="BJ31" s="106" t="s">
        <v>438</v>
      </c>
      <c r="BK31" s="109">
        <v>2544384460</v>
      </c>
      <c r="BL31" s="106" t="s">
        <v>438</v>
      </c>
      <c r="BM31" s="106" t="s">
        <v>438</v>
      </c>
      <c r="BN31" s="106" t="s">
        <v>438</v>
      </c>
      <c r="BO31" s="106" t="s">
        <v>438</v>
      </c>
      <c r="BP31" s="106" t="s">
        <v>438</v>
      </c>
      <c r="BQ31" s="106" t="s">
        <v>438</v>
      </c>
      <c r="BR31" s="106" t="s">
        <v>438</v>
      </c>
      <c r="BS31" s="106" t="s">
        <v>438</v>
      </c>
      <c r="BT31" s="106" t="s">
        <v>438</v>
      </c>
      <c r="BU31" s="106" t="s">
        <v>438</v>
      </c>
      <c r="BV31" s="106" t="s">
        <v>438</v>
      </c>
      <c r="BW31" s="106" t="s">
        <v>438</v>
      </c>
      <c r="BX31" s="106" t="s">
        <v>438</v>
      </c>
      <c r="BY31" s="106" t="s">
        <v>438</v>
      </c>
      <c r="BZ31" s="106" t="s">
        <v>438</v>
      </c>
      <c r="CA31" s="106" t="s">
        <v>438</v>
      </c>
      <c r="CB31" s="106" t="s">
        <v>438</v>
      </c>
      <c r="CC31" s="106" t="s">
        <v>438</v>
      </c>
      <c r="CD31" s="106" t="s">
        <v>438</v>
      </c>
      <c r="CE31" s="106" t="s">
        <v>438</v>
      </c>
      <c r="CF31" s="106" t="s">
        <v>438</v>
      </c>
      <c r="CG31" s="106" t="s">
        <v>438</v>
      </c>
      <c r="CH31" s="106" t="s">
        <v>438</v>
      </c>
      <c r="CI31" s="106" t="s">
        <v>438</v>
      </c>
      <c r="CJ31" s="106" t="s">
        <v>438</v>
      </c>
      <c r="CK31" s="106" t="s">
        <v>438</v>
      </c>
      <c r="CL31" s="109">
        <v>1219860913</v>
      </c>
      <c r="CM31" s="106" t="s">
        <v>438</v>
      </c>
    </row>
    <row r="32" spans="1:91">
      <c r="A32" s="108" t="s">
        <v>463</v>
      </c>
      <c r="B32" s="109">
        <v>5885</v>
      </c>
      <c r="C32" s="109">
        <v>683890107</v>
      </c>
      <c r="D32" s="109">
        <v>1039483</v>
      </c>
      <c r="E32" s="109">
        <v>7049</v>
      </c>
      <c r="F32" s="109">
        <v>233010173</v>
      </c>
      <c r="G32" s="106" t="s">
        <v>438</v>
      </c>
      <c r="H32" s="106" t="s">
        <v>438</v>
      </c>
      <c r="I32" s="109">
        <v>916900280</v>
      </c>
      <c r="J32" s="106" t="s">
        <v>438</v>
      </c>
      <c r="K32" s="109">
        <v>5259</v>
      </c>
      <c r="L32" s="109">
        <v>559382714</v>
      </c>
      <c r="M32" s="109">
        <v>739142</v>
      </c>
      <c r="N32" s="109">
        <v>5657</v>
      </c>
      <c r="O32" s="109">
        <v>118680886</v>
      </c>
      <c r="P32" s="106" t="s">
        <v>438</v>
      </c>
      <c r="Q32" s="106" t="s">
        <v>438</v>
      </c>
      <c r="R32" s="109">
        <v>678063600</v>
      </c>
      <c r="S32" s="106" t="s">
        <v>438</v>
      </c>
      <c r="T32" s="109">
        <v>3303</v>
      </c>
      <c r="U32" s="109">
        <v>378724656</v>
      </c>
      <c r="V32" s="109">
        <v>512824</v>
      </c>
      <c r="W32" s="109">
        <v>3882</v>
      </c>
      <c r="X32" s="109">
        <v>97454253</v>
      </c>
      <c r="Y32" s="106" t="s">
        <v>438</v>
      </c>
      <c r="Z32" s="106" t="s">
        <v>438</v>
      </c>
      <c r="AA32" s="109">
        <v>476178909</v>
      </c>
      <c r="AB32" s="106" t="s">
        <v>438</v>
      </c>
      <c r="AC32" s="109">
        <v>1956</v>
      </c>
      <c r="AD32" s="109">
        <v>180658058</v>
      </c>
      <c r="AE32" s="109">
        <v>226318</v>
      </c>
      <c r="AF32" s="106">
        <v>136</v>
      </c>
      <c r="AG32" s="109">
        <v>4773649</v>
      </c>
      <c r="AH32" s="106" t="s">
        <v>438</v>
      </c>
      <c r="AI32" s="106" t="s">
        <v>438</v>
      </c>
      <c r="AJ32" s="109">
        <v>185431707</v>
      </c>
      <c r="AK32" s="106" t="s">
        <v>438</v>
      </c>
      <c r="AL32" s="106">
        <v>626</v>
      </c>
      <c r="AM32" s="109">
        <v>124507393</v>
      </c>
      <c r="AN32" s="109">
        <v>300341</v>
      </c>
      <c r="AO32" s="109">
        <v>1392</v>
      </c>
      <c r="AP32" s="109">
        <v>114329287</v>
      </c>
      <c r="AQ32" s="106" t="s">
        <v>438</v>
      </c>
      <c r="AR32" s="106" t="s">
        <v>438</v>
      </c>
      <c r="AS32" s="109">
        <v>238836680</v>
      </c>
      <c r="AT32" s="106" t="s">
        <v>438</v>
      </c>
      <c r="AU32" s="109">
        <v>21040</v>
      </c>
      <c r="AV32" s="109">
        <v>2094874241</v>
      </c>
      <c r="AW32" s="109">
        <v>3521120</v>
      </c>
      <c r="AX32" s="109">
        <v>29894</v>
      </c>
      <c r="AY32" s="109">
        <v>861192683</v>
      </c>
      <c r="AZ32" s="106" t="s">
        <v>438</v>
      </c>
      <c r="BA32" s="106" t="s">
        <v>438</v>
      </c>
      <c r="BB32" s="109">
        <v>2956066924</v>
      </c>
      <c r="BC32" s="106" t="s">
        <v>438</v>
      </c>
      <c r="BD32" s="109">
        <v>17518</v>
      </c>
      <c r="BE32" s="109">
        <v>1692305837</v>
      </c>
      <c r="BF32" s="109">
        <v>2434001</v>
      </c>
      <c r="BG32" s="109">
        <v>23910</v>
      </c>
      <c r="BH32" s="109">
        <v>412217467</v>
      </c>
      <c r="BI32" s="106" t="s">
        <v>438</v>
      </c>
      <c r="BJ32" s="106" t="s">
        <v>438</v>
      </c>
      <c r="BK32" s="109">
        <v>2104523304</v>
      </c>
      <c r="BL32" s="106" t="s">
        <v>438</v>
      </c>
      <c r="BM32" s="109">
        <v>12380</v>
      </c>
      <c r="BN32" s="109">
        <v>1288998808</v>
      </c>
      <c r="BO32" s="109">
        <v>1892978</v>
      </c>
      <c r="BP32" s="109">
        <v>15295</v>
      </c>
      <c r="BQ32" s="109">
        <v>328787862</v>
      </c>
      <c r="BR32" s="106" t="s">
        <v>438</v>
      </c>
      <c r="BS32" s="106" t="s">
        <v>438</v>
      </c>
      <c r="BT32" s="109">
        <v>1617786670</v>
      </c>
      <c r="BU32" s="106" t="s">
        <v>438</v>
      </c>
      <c r="BV32" s="109">
        <v>5138</v>
      </c>
      <c r="BW32" s="109">
        <v>403307029</v>
      </c>
      <c r="BX32" s="109">
        <v>541023</v>
      </c>
      <c r="BY32" s="106">
        <v>286</v>
      </c>
      <c r="BZ32" s="109">
        <v>9081833</v>
      </c>
      <c r="CA32" s="106" t="s">
        <v>438</v>
      </c>
      <c r="CB32" s="106" t="s">
        <v>438</v>
      </c>
      <c r="CC32" s="109">
        <v>412388862</v>
      </c>
      <c r="CD32" s="106" t="s">
        <v>438</v>
      </c>
      <c r="CE32" s="109">
        <v>3522</v>
      </c>
      <c r="CF32" s="109">
        <v>402568404</v>
      </c>
      <c r="CG32" s="109">
        <v>1087119</v>
      </c>
      <c r="CH32" s="109">
        <v>5984</v>
      </c>
      <c r="CI32" s="109">
        <v>448975216</v>
      </c>
      <c r="CJ32" s="106" t="s">
        <v>438</v>
      </c>
      <c r="CK32" s="106" t="s">
        <v>438</v>
      </c>
      <c r="CL32" s="109">
        <v>851543620</v>
      </c>
      <c r="CM32" s="106" t="s">
        <v>438</v>
      </c>
    </row>
    <row r="33" spans="1:91">
      <c r="A33" s="108" t="s">
        <v>464</v>
      </c>
      <c r="B33" s="109">
        <v>5634</v>
      </c>
      <c r="C33" s="109">
        <v>685474517</v>
      </c>
      <c r="D33" s="109">
        <v>1117199</v>
      </c>
      <c r="E33" s="109">
        <v>7055</v>
      </c>
      <c r="F33" s="109">
        <v>253939076</v>
      </c>
      <c r="G33" s="106" t="s">
        <v>438</v>
      </c>
      <c r="H33" s="106" t="s">
        <v>438</v>
      </c>
      <c r="I33" s="109">
        <v>939413593</v>
      </c>
      <c r="J33" s="106" t="s">
        <v>438</v>
      </c>
      <c r="K33" s="109">
        <v>4966</v>
      </c>
      <c r="L33" s="109">
        <v>575055696</v>
      </c>
      <c r="M33" s="109">
        <v>802419</v>
      </c>
      <c r="N33" s="109">
        <v>5439</v>
      </c>
      <c r="O33" s="109">
        <v>122261697</v>
      </c>
      <c r="P33" s="106" t="s">
        <v>438</v>
      </c>
      <c r="Q33" s="106" t="s">
        <v>438</v>
      </c>
      <c r="R33" s="109">
        <v>697317393</v>
      </c>
      <c r="S33" s="106" t="s">
        <v>438</v>
      </c>
      <c r="T33" s="109">
        <v>3276</v>
      </c>
      <c r="U33" s="109">
        <v>413444049</v>
      </c>
      <c r="V33" s="109">
        <v>581156</v>
      </c>
      <c r="W33" s="109">
        <v>3858</v>
      </c>
      <c r="X33" s="109">
        <v>102748381</v>
      </c>
      <c r="Y33" s="106" t="s">
        <v>438</v>
      </c>
      <c r="Z33" s="106" t="s">
        <v>438</v>
      </c>
      <c r="AA33" s="109">
        <v>516192430</v>
      </c>
      <c r="AB33" s="106" t="s">
        <v>438</v>
      </c>
      <c r="AC33" s="109">
        <v>1690</v>
      </c>
      <c r="AD33" s="109">
        <v>161611647</v>
      </c>
      <c r="AE33" s="109">
        <v>221263</v>
      </c>
      <c r="AF33" s="106">
        <v>116</v>
      </c>
      <c r="AG33" s="109">
        <v>4111817</v>
      </c>
      <c r="AH33" s="106" t="s">
        <v>438</v>
      </c>
      <c r="AI33" s="106" t="s">
        <v>438</v>
      </c>
      <c r="AJ33" s="109">
        <v>165723464</v>
      </c>
      <c r="AK33" s="106" t="s">
        <v>438</v>
      </c>
      <c r="AL33" s="106">
        <v>668</v>
      </c>
      <c r="AM33" s="109">
        <v>110418821</v>
      </c>
      <c r="AN33" s="109">
        <v>314780</v>
      </c>
      <c r="AO33" s="109">
        <v>1616</v>
      </c>
      <c r="AP33" s="109">
        <v>131677379</v>
      </c>
      <c r="AQ33" s="106" t="s">
        <v>438</v>
      </c>
      <c r="AR33" s="106" t="s">
        <v>438</v>
      </c>
      <c r="AS33" s="109">
        <v>242096200</v>
      </c>
      <c r="AT33" s="106" t="s">
        <v>438</v>
      </c>
      <c r="AU33" s="109">
        <v>22076</v>
      </c>
      <c r="AV33" s="109">
        <v>2283365205</v>
      </c>
      <c r="AW33" s="109">
        <v>4038450</v>
      </c>
      <c r="AX33" s="109">
        <v>30532</v>
      </c>
      <c r="AY33" s="109">
        <v>976005100</v>
      </c>
      <c r="AZ33" s="106" t="s">
        <v>438</v>
      </c>
      <c r="BA33" s="106" t="s">
        <v>438</v>
      </c>
      <c r="BB33" s="109">
        <v>3259370305</v>
      </c>
      <c r="BC33" s="106" t="s">
        <v>438</v>
      </c>
      <c r="BD33" s="109">
        <v>17739</v>
      </c>
      <c r="BE33" s="109">
        <v>1816953773</v>
      </c>
      <c r="BF33" s="109">
        <v>2677553</v>
      </c>
      <c r="BG33" s="109">
        <v>23589</v>
      </c>
      <c r="BH33" s="109">
        <v>420674209</v>
      </c>
      <c r="BI33" s="106" t="s">
        <v>438</v>
      </c>
      <c r="BJ33" s="106" t="s">
        <v>438</v>
      </c>
      <c r="BK33" s="109">
        <v>2237627982</v>
      </c>
      <c r="BL33" s="106" t="s">
        <v>438</v>
      </c>
      <c r="BM33" s="109">
        <v>13056</v>
      </c>
      <c r="BN33" s="109">
        <v>1439240354</v>
      </c>
      <c r="BO33" s="109">
        <v>2143426</v>
      </c>
      <c r="BP33" s="109">
        <v>15233</v>
      </c>
      <c r="BQ33" s="109">
        <v>338196524</v>
      </c>
      <c r="BR33" s="106" t="s">
        <v>438</v>
      </c>
      <c r="BS33" s="106" t="s">
        <v>438</v>
      </c>
      <c r="BT33" s="109">
        <v>1777436878</v>
      </c>
      <c r="BU33" s="106" t="s">
        <v>438</v>
      </c>
      <c r="BV33" s="109">
        <v>4683</v>
      </c>
      <c r="BW33" s="109">
        <v>377713419</v>
      </c>
      <c r="BX33" s="109">
        <v>534127</v>
      </c>
      <c r="BY33" s="106">
        <v>255</v>
      </c>
      <c r="BZ33" s="109">
        <v>8898223</v>
      </c>
      <c r="CA33" s="106" t="s">
        <v>438</v>
      </c>
      <c r="CB33" s="106" t="s">
        <v>438</v>
      </c>
      <c r="CC33" s="109">
        <v>386611642</v>
      </c>
      <c r="CD33" s="106" t="s">
        <v>438</v>
      </c>
      <c r="CE33" s="109">
        <v>4337</v>
      </c>
      <c r="CF33" s="109">
        <v>466411432</v>
      </c>
      <c r="CG33" s="109">
        <v>1360897</v>
      </c>
      <c r="CH33" s="109">
        <v>6943</v>
      </c>
      <c r="CI33" s="109">
        <v>555330891</v>
      </c>
      <c r="CJ33" s="106" t="s">
        <v>438</v>
      </c>
      <c r="CK33" s="106" t="s">
        <v>438</v>
      </c>
      <c r="CL33" s="109">
        <v>1021742323</v>
      </c>
      <c r="CM33" s="106" t="s">
        <v>438</v>
      </c>
    </row>
    <row r="34" spans="1:91">
      <c r="A34" s="108" t="s">
        <v>465</v>
      </c>
      <c r="B34" s="109">
        <v>6638</v>
      </c>
      <c r="C34" s="109">
        <v>920273988</v>
      </c>
      <c r="D34" s="109">
        <v>1460301</v>
      </c>
      <c r="E34" s="109">
        <v>7445</v>
      </c>
      <c r="F34" s="109">
        <v>332451459</v>
      </c>
      <c r="G34" s="106" t="s">
        <v>438</v>
      </c>
      <c r="H34" s="106" t="s">
        <v>438</v>
      </c>
      <c r="I34" s="109">
        <v>1252725447</v>
      </c>
      <c r="J34" s="106" t="s">
        <v>438</v>
      </c>
      <c r="K34" s="109">
        <v>5827</v>
      </c>
      <c r="L34" s="109">
        <v>707704868</v>
      </c>
      <c r="M34" s="109">
        <v>983360</v>
      </c>
      <c r="N34" s="109">
        <v>5507</v>
      </c>
      <c r="O34" s="109">
        <v>141297716</v>
      </c>
      <c r="P34" s="106" t="s">
        <v>438</v>
      </c>
      <c r="Q34" s="106" t="s">
        <v>438</v>
      </c>
      <c r="R34" s="109">
        <v>849002584</v>
      </c>
      <c r="S34" s="106" t="s">
        <v>438</v>
      </c>
      <c r="T34" s="109">
        <v>3789</v>
      </c>
      <c r="U34" s="109">
        <v>505328063</v>
      </c>
      <c r="V34" s="109">
        <v>712211</v>
      </c>
      <c r="W34" s="109">
        <v>4112</v>
      </c>
      <c r="X34" s="109">
        <v>121234349</v>
      </c>
      <c r="Y34" s="106" t="s">
        <v>438</v>
      </c>
      <c r="Z34" s="106" t="s">
        <v>438</v>
      </c>
      <c r="AA34" s="109">
        <v>626562412</v>
      </c>
      <c r="AB34" s="106" t="s">
        <v>438</v>
      </c>
      <c r="AC34" s="109">
        <v>2038</v>
      </c>
      <c r="AD34" s="109">
        <v>202376805</v>
      </c>
      <c r="AE34" s="109">
        <v>271149</v>
      </c>
      <c r="AF34" s="106">
        <v>107</v>
      </c>
      <c r="AG34" s="109">
        <v>5856799</v>
      </c>
      <c r="AH34" s="106" t="s">
        <v>438</v>
      </c>
      <c r="AI34" s="106" t="s">
        <v>438</v>
      </c>
      <c r="AJ34" s="109">
        <v>208233604</v>
      </c>
      <c r="AK34" s="106" t="s">
        <v>438</v>
      </c>
      <c r="AL34" s="106">
        <v>811</v>
      </c>
      <c r="AM34" s="109">
        <v>212569120</v>
      </c>
      <c r="AN34" s="109">
        <v>476941</v>
      </c>
      <c r="AO34" s="109">
        <v>1938</v>
      </c>
      <c r="AP34" s="109">
        <v>191153743</v>
      </c>
      <c r="AQ34" s="106" t="s">
        <v>438</v>
      </c>
      <c r="AR34" s="106" t="s">
        <v>438</v>
      </c>
      <c r="AS34" s="109">
        <v>403722863</v>
      </c>
      <c r="AT34" s="106" t="s">
        <v>438</v>
      </c>
      <c r="AU34" s="109">
        <v>23763</v>
      </c>
      <c r="AV34" s="109">
        <v>2767913469</v>
      </c>
      <c r="AW34" s="109">
        <v>4913241</v>
      </c>
      <c r="AX34" s="109">
        <v>33010</v>
      </c>
      <c r="AY34" s="109">
        <v>1205264772</v>
      </c>
      <c r="AZ34" s="106" t="s">
        <v>438</v>
      </c>
      <c r="BA34" s="106" t="s">
        <v>438</v>
      </c>
      <c r="BB34" s="109">
        <v>3973178241</v>
      </c>
      <c r="BC34" s="106" t="s">
        <v>438</v>
      </c>
      <c r="BD34" s="109">
        <v>18737</v>
      </c>
      <c r="BE34" s="109">
        <v>2055756855</v>
      </c>
      <c r="BF34" s="109">
        <v>2972945</v>
      </c>
      <c r="BG34" s="109">
        <v>24379</v>
      </c>
      <c r="BH34" s="109">
        <v>485959276</v>
      </c>
      <c r="BI34" s="106" t="s">
        <v>438</v>
      </c>
      <c r="BJ34" s="106" t="s">
        <v>438</v>
      </c>
      <c r="BK34" s="109">
        <v>2541716131</v>
      </c>
      <c r="BL34" s="106" t="s">
        <v>438</v>
      </c>
      <c r="BM34" s="109">
        <v>13876</v>
      </c>
      <c r="BN34" s="109">
        <v>1634589255</v>
      </c>
      <c r="BO34" s="109">
        <v>2391984</v>
      </c>
      <c r="BP34" s="109">
        <v>16522</v>
      </c>
      <c r="BQ34" s="109">
        <v>401563116</v>
      </c>
      <c r="BR34" s="106" t="s">
        <v>438</v>
      </c>
      <c r="BS34" s="106" t="s">
        <v>438</v>
      </c>
      <c r="BT34" s="109">
        <v>2036152371</v>
      </c>
      <c r="BU34" s="106" t="s">
        <v>438</v>
      </c>
      <c r="BV34" s="109">
        <v>4861</v>
      </c>
      <c r="BW34" s="109">
        <v>421167600</v>
      </c>
      <c r="BX34" s="109">
        <v>580961</v>
      </c>
      <c r="BY34" s="106">
        <v>224</v>
      </c>
      <c r="BZ34" s="109">
        <v>9841622</v>
      </c>
      <c r="CA34" s="106" t="s">
        <v>438</v>
      </c>
      <c r="CB34" s="106" t="s">
        <v>438</v>
      </c>
      <c r="CC34" s="109">
        <v>431009222</v>
      </c>
      <c r="CD34" s="106" t="s">
        <v>438</v>
      </c>
      <c r="CE34" s="109">
        <v>5026</v>
      </c>
      <c r="CF34" s="109">
        <v>712156614</v>
      </c>
      <c r="CG34" s="109">
        <v>1940296</v>
      </c>
      <c r="CH34" s="109">
        <v>8631</v>
      </c>
      <c r="CI34" s="109">
        <v>719305496</v>
      </c>
      <c r="CJ34" s="106" t="s">
        <v>438</v>
      </c>
      <c r="CK34" s="106" t="s">
        <v>438</v>
      </c>
      <c r="CL34" s="109">
        <v>1431462110</v>
      </c>
      <c r="CM34" s="106" t="s">
        <v>438</v>
      </c>
    </row>
    <row r="35" spans="1:91">
      <c r="A35" s="108" t="s">
        <v>466</v>
      </c>
      <c r="B35" s="109">
        <v>8989</v>
      </c>
      <c r="C35" s="109">
        <v>1475057874</v>
      </c>
      <c r="D35" s="109">
        <v>2370195</v>
      </c>
      <c r="E35" s="109">
        <v>8908</v>
      </c>
      <c r="F35" s="109">
        <v>404445717</v>
      </c>
      <c r="G35" s="106" t="s">
        <v>438</v>
      </c>
      <c r="H35" s="106" t="s">
        <v>438</v>
      </c>
      <c r="I35" s="109">
        <v>1879503591</v>
      </c>
      <c r="J35" s="106" t="s">
        <v>438</v>
      </c>
      <c r="K35" s="109">
        <v>8109</v>
      </c>
      <c r="L35" s="109">
        <v>1077070767</v>
      </c>
      <c r="M35" s="109">
        <v>1420589</v>
      </c>
      <c r="N35" s="109">
        <v>6531</v>
      </c>
      <c r="O35" s="109">
        <v>182972286</v>
      </c>
      <c r="P35" s="106" t="s">
        <v>438</v>
      </c>
      <c r="Q35" s="106" t="s">
        <v>438</v>
      </c>
      <c r="R35" s="109">
        <v>1260043053</v>
      </c>
      <c r="S35" s="106" t="s">
        <v>438</v>
      </c>
      <c r="T35" s="109">
        <v>5102</v>
      </c>
      <c r="U35" s="109">
        <v>749788117</v>
      </c>
      <c r="V35" s="109">
        <v>1006108</v>
      </c>
      <c r="W35" s="109">
        <v>4884</v>
      </c>
      <c r="X35" s="109">
        <v>152093295</v>
      </c>
      <c r="Y35" s="106" t="s">
        <v>438</v>
      </c>
      <c r="Z35" s="106" t="s">
        <v>438</v>
      </c>
      <c r="AA35" s="109">
        <v>901881412</v>
      </c>
      <c r="AB35" s="106" t="s">
        <v>438</v>
      </c>
      <c r="AC35" s="109">
        <v>3007</v>
      </c>
      <c r="AD35" s="109">
        <v>327282650</v>
      </c>
      <c r="AE35" s="109">
        <v>414481</v>
      </c>
      <c r="AF35" s="106">
        <v>154</v>
      </c>
      <c r="AG35" s="109">
        <v>13592350</v>
      </c>
      <c r="AH35" s="106" t="s">
        <v>438</v>
      </c>
      <c r="AI35" s="106" t="s">
        <v>438</v>
      </c>
      <c r="AJ35" s="109">
        <v>340875000</v>
      </c>
      <c r="AK35" s="106" t="s">
        <v>438</v>
      </c>
      <c r="AL35" s="106">
        <v>880</v>
      </c>
      <c r="AM35" s="109">
        <v>397987107</v>
      </c>
      <c r="AN35" s="109">
        <v>949606</v>
      </c>
      <c r="AO35" s="109">
        <v>2377</v>
      </c>
      <c r="AP35" s="109">
        <v>221473431</v>
      </c>
      <c r="AQ35" s="106" t="s">
        <v>438</v>
      </c>
      <c r="AR35" s="106" t="s">
        <v>438</v>
      </c>
      <c r="AS35" s="109">
        <v>619460538</v>
      </c>
      <c r="AT35" s="106" t="s">
        <v>438</v>
      </c>
      <c r="AU35" s="109">
        <v>28366</v>
      </c>
      <c r="AV35" s="109">
        <v>3690890553</v>
      </c>
      <c r="AW35" s="109">
        <v>6176383</v>
      </c>
      <c r="AX35" s="109">
        <v>36669</v>
      </c>
      <c r="AY35" s="109">
        <v>1408854649</v>
      </c>
      <c r="AZ35" s="106" t="s">
        <v>438</v>
      </c>
      <c r="BA35" s="106" t="s">
        <v>438</v>
      </c>
      <c r="BB35" s="109">
        <v>5099745202</v>
      </c>
      <c r="BC35" s="106" t="s">
        <v>438</v>
      </c>
      <c r="BD35" s="109">
        <v>23099</v>
      </c>
      <c r="BE35" s="109">
        <v>2747039119</v>
      </c>
      <c r="BF35" s="109">
        <v>3793952</v>
      </c>
      <c r="BG35" s="109">
        <v>26656</v>
      </c>
      <c r="BH35" s="109">
        <v>564525961</v>
      </c>
      <c r="BI35" s="106" t="s">
        <v>438</v>
      </c>
      <c r="BJ35" s="106" t="s">
        <v>438</v>
      </c>
      <c r="BK35" s="109">
        <v>3311565080</v>
      </c>
      <c r="BL35" s="106" t="s">
        <v>438</v>
      </c>
      <c r="BM35" s="109">
        <v>16230</v>
      </c>
      <c r="BN35" s="109">
        <v>2083849907</v>
      </c>
      <c r="BO35" s="109">
        <v>2932859</v>
      </c>
      <c r="BP35" s="109">
        <v>17962</v>
      </c>
      <c r="BQ35" s="109">
        <v>454649389</v>
      </c>
      <c r="BR35" s="106" t="s">
        <v>438</v>
      </c>
      <c r="BS35" s="106" t="s">
        <v>438</v>
      </c>
      <c r="BT35" s="109">
        <v>2538499296</v>
      </c>
      <c r="BU35" s="106" t="s">
        <v>438</v>
      </c>
      <c r="BV35" s="109">
        <v>6869</v>
      </c>
      <c r="BW35" s="109">
        <v>663189212</v>
      </c>
      <c r="BX35" s="109">
        <v>861093</v>
      </c>
      <c r="BY35" s="106">
        <v>303</v>
      </c>
      <c r="BZ35" s="109">
        <v>25697893</v>
      </c>
      <c r="CA35" s="106" t="s">
        <v>438</v>
      </c>
      <c r="CB35" s="106" t="s">
        <v>438</v>
      </c>
      <c r="CC35" s="109">
        <v>688887105</v>
      </c>
      <c r="CD35" s="106" t="s">
        <v>438</v>
      </c>
      <c r="CE35" s="109">
        <v>5267</v>
      </c>
      <c r="CF35" s="109">
        <v>943851434</v>
      </c>
      <c r="CG35" s="109">
        <v>2382431</v>
      </c>
      <c r="CH35" s="109">
        <v>10013</v>
      </c>
      <c r="CI35" s="109">
        <v>844328688</v>
      </c>
      <c r="CJ35" s="106" t="s">
        <v>438</v>
      </c>
      <c r="CK35" s="106" t="s">
        <v>438</v>
      </c>
      <c r="CL35" s="109">
        <v>1788180122</v>
      </c>
      <c r="CM35" s="106" t="s">
        <v>438</v>
      </c>
    </row>
    <row r="36" spans="1:91">
      <c r="A36" s="108" t="s">
        <v>467</v>
      </c>
      <c r="B36" s="109">
        <v>8523</v>
      </c>
      <c r="C36" s="109">
        <v>1499184487</v>
      </c>
      <c r="D36" s="109">
        <v>2254635</v>
      </c>
      <c r="E36" s="109">
        <v>9561</v>
      </c>
      <c r="F36" s="109">
        <v>543462951</v>
      </c>
      <c r="G36" s="106" t="s">
        <v>438</v>
      </c>
      <c r="H36" s="106" t="s">
        <v>438</v>
      </c>
      <c r="I36" s="109">
        <v>2042647438</v>
      </c>
      <c r="J36" s="106" t="s">
        <v>438</v>
      </c>
      <c r="K36" s="109">
        <v>7716</v>
      </c>
      <c r="L36" s="109">
        <v>1121063961</v>
      </c>
      <c r="M36" s="109">
        <v>1424324</v>
      </c>
      <c r="N36" s="109">
        <v>6926</v>
      </c>
      <c r="O36" s="109">
        <v>203134703</v>
      </c>
      <c r="P36" s="106" t="s">
        <v>438</v>
      </c>
      <c r="Q36" s="106" t="s">
        <v>438</v>
      </c>
      <c r="R36" s="109">
        <v>1324198664</v>
      </c>
      <c r="S36" s="106" t="s">
        <v>438</v>
      </c>
      <c r="T36" s="109">
        <v>4697</v>
      </c>
      <c r="U36" s="109">
        <v>737492775</v>
      </c>
      <c r="V36" s="109">
        <v>957011</v>
      </c>
      <c r="W36" s="109">
        <v>5220</v>
      </c>
      <c r="X36" s="109">
        <v>175249180</v>
      </c>
      <c r="Y36" s="106" t="s">
        <v>438</v>
      </c>
      <c r="Z36" s="106" t="s">
        <v>438</v>
      </c>
      <c r="AA36" s="109">
        <v>912741955</v>
      </c>
      <c r="AB36" s="106" t="s">
        <v>438</v>
      </c>
      <c r="AC36" s="109">
        <v>3019</v>
      </c>
      <c r="AD36" s="109">
        <v>383571186</v>
      </c>
      <c r="AE36" s="109">
        <v>467313</v>
      </c>
      <c r="AF36" s="106">
        <v>162</v>
      </c>
      <c r="AG36" s="109">
        <v>9885961</v>
      </c>
      <c r="AH36" s="106" t="s">
        <v>438</v>
      </c>
      <c r="AI36" s="106" t="s">
        <v>438</v>
      </c>
      <c r="AJ36" s="109">
        <v>393457147</v>
      </c>
      <c r="AK36" s="106" t="s">
        <v>438</v>
      </c>
      <c r="AL36" s="106">
        <v>807</v>
      </c>
      <c r="AM36" s="109">
        <v>378120526</v>
      </c>
      <c r="AN36" s="109">
        <v>830311</v>
      </c>
      <c r="AO36" s="109">
        <v>2635</v>
      </c>
      <c r="AP36" s="109">
        <v>340328248</v>
      </c>
      <c r="AQ36" s="106" t="s">
        <v>438</v>
      </c>
      <c r="AR36" s="106" t="s">
        <v>438</v>
      </c>
      <c r="AS36" s="109">
        <v>718448774</v>
      </c>
      <c r="AT36" s="106" t="s">
        <v>438</v>
      </c>
      <c r="AU36" s="109">
        <v>26038</v>
      </c>
      <c r="AV36" s="109">
        <v>3650232168</v>
      </c>
      <c r="AW36" s="109">
        <v>6022933</v>
      </c>
      <c r="AX36" s="109">
        <v>36930</v>
      </c>
      <c r="AY36" s="109">
        <v>1664867202</v>
      </c>
      <c r="AZ36" s="106" t="s">
        <v>438</v>
      </c>
      <c r="BA36" s="106" t="s">
        <v>438</v>
      </c>
      <c r="BB36" s="109">
        <v>5315099370</v>
      </c>
      <c r="BC36" s="106" t="s">
        <v>438</v>
      </c>
      <c r="BD36" s="109">
        <v>21114</v>
      </c>
      <c r="BE36" s="109">
        <v>2683684242</v>
      </c>
      <c r="BF36" s="109">
        <v>3603994</v>
      </c>
      <c r="BG36" s="109">
        <v>26404</v>
      </c>
      <c r="BH36" s="109">
        <v>580455825</v>
      </c>
      <c r="BI36" s="106" t="s">
        <v>438</v>
      </c>
      <c r="BJ36" s="106" t="s">
        <v>438</v>
      </c>
      <c r="BK36" s="109">
        <v>3264140067</v>
      </c>
      <c r="BL36" s="106" t="s">
        <v>438</v>
      </c>
      <c r="BM36" s="109">
        <v>14541</v>
      </c>
      <c r="BN36" s="109">
        <v>1976237721</v>
      </c>
      <c r="BO36" s="109">
        <v>2694347</v>
      </c>
      <c r="BP36" s="109">
        <v>17770</v>
      </c>
      <c r="BQ36" s="109">
        <v>474338800</v>
      </c>
      <c r="BR36" s="106" t="s">
        <v>438</v>
      </c>
      <c r="BS36" s="106" t="s">
        <v>438</v>
      </c>
      <c r="BT36" s="109">
        <v>2450576521</v>
      </c>
      <c r="BU36" s="106" t="s">
        <v>438</v>
      </c>
      <c r="BV36" s="109">
        <v>6573</v>
      </c>
      <c r="BW36" s="109">
        <v>707446521</v>
      </c>
      <c r="BX36" s="109">
        <v>909647</v>
      </c>
      <c r="BY36" s="106">
        <v>290</v>
      </c>
      <c r="BZ36" s="109">
        <v>20474596</v>
      </c>
      <c r="CA36" s="106" t="s">
        <v>438</v>
      </c>
      <c r="CB36" s="106" t="s">
        <v>438</v>
      </c>
      <c r="CC36" s="109">
        <v>727921117</v>
      </c>
      <c r="CD36" s="106" t="s">
        <v>438</v>
      </c>
      <c r="CE36" s="109">
        <v>4924</v>
      </c>
      <c r="CF36" s="109">
        <v>966547926</v>
      </c>
      <c r="CG36" s="109">
        <v>2418939</v>
      </c>
      <c r="CH36" s="109">
        <v>10526</v>
      </c>
      <c r="CI36" s="109">
        <v>1084411377</v>
      </c>
      <c r="CJ36" s="106" t="s">
        <v>438</v>
      </c>
      <c r="CK36" s="106" t="s">
        <v>438</v>
      </c>
      <c r="CL36" s="109">
        <v>2050959303</v>
      </c>
      <c r="CM36" s="106" t="s">
        <v>438</v>
      </c>
    </row>
    <row r="37" spans="1:91">
      <c r="A37" s="108" t="s">
        <v>468</v>
      </c>
      <c r="B37" s="109">
        <v>10039</v>
      </c>
      <c r="C37" s="109">
        <v>1938697581</v>
      </c>
      <c r="D37" s="109">
        <v>2749760</v>
      </c>
      <c r="E37" s="109">
        <v>10691</v>
      </c>
      <c r="F37" s="109">
        <v>662594793</v>
      </c>
      <c r="G37" s="106" t="s">
        <v>438</v>
      </c>
      <c r="H37" s="106" t="s">
        <v>438</v>
      </c>
      <c r="I37" s="109">
        <v>2601292374</v>
      </c>
      <c r="J37" s="106" t="s">
        <v>438</v>
      </c>
      <c r="K37" s="109">
        <v>8855</v>
      </c>
      <c r="L37" s="109">
        <v>1296084651</v>
      </c>
      <c r="M37" s="109">
        <v>1581678</v>
      </c>
      <c r="N37" s="109">
        <v>7869</v>
      </c>
      <c r="O37" s="109">
        <v>248631395</v>
      </c>
      <c r="P37" s="106" t="s">
        <v>438</v>
      </c>
      <c r="Q37" s="106" t="s">
        <v>438</v>
      </c>
      <c r="R37" s="109">
        <v>1544716046</v>
      </c>
      <c r="S37" s="106" t="s">
        <v>438</v>
      </c>
      <c r="T37" s="109">
        <v>6295</v>
      </c>
      <c r="U37" s="109">
        <v>988931669</v>
      </c>
      <c r="V37" s="109">
        <v>1223732</v>
      </c>
      <c r="W37" s="109">
        <v>5850</v>
      </c>
      <c r="X37" s="109">
        <v>215886472</v>
      </c>
      <c r="Y37" s="106" t="s">
        <v>438</v>
      </c>
      <c r="Z37" s="106" t="s">
        <v>438</v>
      </c>
      <c r="AA37" s="109">
        <v>1204818141</v>
      </c>
      <c r="AB37" s="106" t="s">
        <v>438</v>
      </c>
      <c r="AC37" s="109">
        <v>2560</v>
      </c>
      <c r="AD37" s="109">
        <v>307152982</v>
      </c>
      <c r="AE37" s="109">
        <v>357946</v>
      </c>
      <c r="AF37" s="106">
        <v>110</v>
      </c>
      <c r="AG37" s="109">
        <v>8768815</v>
      </c>
      <c r="AH37" s="106" t="s">
        <v>438</v>
      </c>
      <c r="AI37" s="106" t="s">
        <v>438</v>
      </c>
      <c r="AJ37" s="109">
        <v>315921797</v>
      </c>
      <c r="AK37" s="106" t="s">
        <v>438</v>
      </c>
      <c r="AL37" s="109">
        <v>1184</v>
      </c>
      <c r="AM37" s="109">
        <v>642612930</v>
      </c>
      <c r="AN37" s="109">
        <v>1168082</v>
      </c>
      <c r="AO37" s="109">
        <v>2822</v>
      </c>
      <c r="AP37" s="109">
        <v>413963398</v>
      </c>
      <c r="AQ37" s="106" t="s">
        <v>438</v>
      </c>
      <c r="AR37" s="106" t="s">
        <v>438</v>
      </c>
      <c r="AS37" s="109">
        <v>1056576328</v>
      </c>
      <c r="AT37" s="106" t="s">
        <v>438</v>
      </c>
      <c r="AU37" s="109">
        <v>28862</v>
      </c>
      <c r="AV37" s="109">
        <v>4348749161</v>
      </c>
      <c r="AW37" s="109">
        <v>6701134</v>
      </c>
      <c r="AX37" s="109">
        <v>38172</v>
      </c>
      <c r="AY37" s="109">
        <v>1867299981</v>
      </c>
      <c r="AZ37" s="106" t="s">
        <v>438</v>
      </c>
      <c r="BA37" s="106" t="s">
        <v>438</v>
      </c>
      <c r="BB37" s="109">
        <v>6216049142</v>
      </c>
      <c r="BC37" s="106" t="s">
        <v>438</v>
      </c>
      <c r="BD37" s="109">
        <v>22823</v>
      </c>
      <c r="BE37" s="109">
        <v>2994832110</v>
      </c>
      <c r="BF37" s="109">
        <v>3919354</v>
      </c>
      <c r="BG37" s="109">
        <v>27991</v>
      </c>
      <c r="BH37" s="109">
        <v>657765253</v>
      </c>
      <c r="BI37" s="106" t="s">
        <v>438</v>
      </c>
      <c r="BJ37" s="106" t="s">
        <v>438</v>
      </c>
      <c r="BK37" s="109">
        <v>3652597363</v>
      </c>
      <c r="BL37" s="106" t="s">
        <v>438</v>
      </c>
      <c r="BM37" s="109">
        <v>17142</v>
      </c>
      <c r="BN37" s="109">
        <v>2412539648</v>
      </c>
      <c r="BO37" s="109">
        <v>3158622</v>
      </c>
      <c r="BP37" s="109">
        <v>18817</v>
      </c>
      <c r="BQ37" s="109">
        <v>545310355</v>
      </c>
      <c r="BR37" s="106" t="s">
        <v>438</v>
      </c>
      <c r="BS37" s="106" t="s">
        <v>438</v>
      </c>
      <c r="BT37" s="109">
        <v>2957850003</v>
      </c>
      <c r="BU37" s="106" t="s">
        <v>438</v>
      </c>
      <c r="BV37" s="109">
        <v>5681</v>
      </c>
      <c r="BW37" s="109">
        <v>582292462</v>
      </c>
      <c r="BX37" s="109">
        <v>760732</v>
      </c>
      <c r="BY37" s="106">
        <v>225</v>
      </c>
      <c r="BZ37" s="109">
        <v>17148106</v>
      </c>
      <c r="CA37" s="106" t="s">
        <v>438</v>
      </c>
      <c r="CB37" s="106" t="s">
        <v>438</v>
      </c>
      <c r="CC37" s="109">
        <v>599440568</v>
      </c>
      <c r="CD37" s="106" t="s">
        <v>438</v>
      </c>
      <c r="CE37" s="109">
        <v>6039</v>
      </c>
      <c r="CF37" s="109">
        <v>1353917051</v>
      </c>
      <c r="CG37" s="109">
        <v>2781780</v>
      </c>
      <c r="CH37" s="109">
        <v>10181</v>
      </c>
      <c r="CI37" s="109">
        <v>1209534728</v>
      </c>
      <c r="CJ37" s="106" t="s">
        <v>438</v>
      </c>
      <c r="CK37" s="106" t="s">
        <v>438</v>
      </c>
      <c r="CL37" s="109">
        <v>2563451779</v>
      </c>
      <c r="CM37" s="106" t="s">
        <v>438</v>
      </c>
    </row>
    <row r="38" spans="1:91">
      <c r="A38" s="108" t="s">
        <v>469</v>
      </c>
      <c r="B38" s="109">
        <v>10977</v>
      </c>
      <c r="C38" s="109">
        <v>1903673473</v>
      </c>
      <c r="D38" s="109">
        <v>2528132</v>
      </c>
      <c r="E38" s="109">
        <v>10144</v>
      </c>
      <c r="F38" s="109">
        <v>546903230</v>
      </c>
      <c r="G38" s="106" t="s">
        <v>438</v>
      </c>
      <c r="H38" s="106" t="s">
        <v>438</v>
      </c>
      <c r="I38" s="109">
        <v>2450576703</v>
      </c>
      <c r="J38" s="106" t="s">
        <v>438</v>
      </c>
      <c r="K38" s="109">
        <v>9741</v>
      </c>
      <c r="L38" s="109">
        <v>1354828587</v>
      </c>
      <c r="M38" s="109">
        <v>1582457</v>
      </c>
      <c r="N38" s="109">
        <v>7603</v>
      </c>
      <c r="O38" s="109">
        <v>251927457</v>
      </c>
      <c r="P38" s="106" t="s">
        <v>438</v>
      </c>
      <c r="Q38" s="106" t="s">
        <v>438</v>
      </c>
      <c r="R38" s="109">
        <v>1606756044</v>
      </c>
      <c r="S38" s="106" t="s">
        <v>438</v>
      </c>
      <c r="T38" s="109">
        <v>6662</v>
      </c>
      <c r="U38" s="109">
        <v>1040970220</v>
      </c>
      <c r="V38" s="109">
        <v>1219653</v>
      </c>
      <c r="W38" s="109">
        <v>5478</v>
      </c>
      <c r="X38" s="109">
        <v>217637457</v>
      </c>
      <c r="Y38" s="106" t="s">
        <v>438</v>
      </c>
      <c r="Z38" s="106" t="s">
        <v>438</v>
      </c>
      <c r="AA38" s="109">
        <v>1258607677</v>
      </c>
      <c r="AB38" s="106" t="s">
        <v>438</v>
      </c>
      <c r="AC38" s="109">
        <v>3079</v>
      </c>
      <c r="AD38" s="109">
        <v>313858367</v>
      </c>
      <c r="AE38" s="109">
        <v>362804</v>
      </c>
      <c r="AF38" s="106">
        <v>135</v>
      </c>
      <c r="AG38" s="109">
        <v>7833450</v>
      </c>
      <c r="AH38" s="106" t="s">
        <v>438</v>
      </c>
      <c r="AI38" s="106" t="s">
        <v>438</v>
      </c>
      <c r="AJ38" s="109">
        <v>321691817</v>
      </c>
      <c r="AK38" s="106" t="s">
        <v>438</v>
      </c>
      <c r="AL38" s="109">
        <v>1236</v>
      </c>
      <c r="AM38" s="109">
        <v>548844886</v>
      </c>
      <c r="AN38" s="109">
        <v>945675</v>
      </c>
      <c r="AO38" s="109">
        <v>2541</v>
      </c>
      <c r="AP38" s="109">
        <v>294975773</v>
      </c>
      <c r="AQ38" s="106" t="s">
        <v>438</v>
      </c>
      <c r="AR38" s="106" t="s">
        <v>438</v>
      </c>
      <c r="AS38" s="109">
        <v>843820659</v>
      </c>
      <c r="AT38" s="106" t="s">
        <v>438</v>
      </c>
      <c r="AU38" s="109">
        <v>31212</v>
      </c>
      <c r="AV38" s="109">
        <v>4613176466</v>
      </c>
      <c r="AW38" s="109">
        <v>6547236</v>
      </c>
      <c r="AX38" s="109">
        <v>37356</v>
      </c>
      <c r="AY38" s="109">
        <v>1554585226</v>
      </c>
      <c r="AZ38" s="106" t="s">
        <v>438</v>
      </c>
      <c r="BA38" s="106" t="s">
        <v>438</v>
      </c>
      <c r="BB38" s="109">
        <v>6167761692</v>
      </c>
      <c r="BC38" s="106" t="s">
        <v>438</v>
      </c>
      <c r="BD38" s="109">
        <v>25123</v>
      </c>
      <c r="BE38" s="109">
        <v>3228360511</v>
      </c>
      <c r="BF38" s="109">
        <v>4063689</v>
      </c>
      <c r="BG38" s="109">
        <v>28023</v>
      </c>
      <c r="BH38" s="109">
        <v>666007738</v>
      </c>
      <c r="BI38" s="106" t="s">
        <v>438</v>
      </c>
      <c r="BJ38" s="106" t="s">
        <v>438</v>
      </c>
      <c r="BK38" s="109">
        <v>3894368249</v>
      </c>
      <c r="BL38" s="106" t="s">
        <v>438</v>
      </c>
      <c r="BM38" s="109">
        <v>18594</v>
      </c>
      <c r="BN38" s="109">
        <v>2622272566</v>
      </c>
      <c r="BO38" s="109">
        <v>3301286</v>
      </c>
      <c r="BP38" s="109">
        <v>18438</v>
      </c>
      <c r="BQ38" s="109">
        <v>549439005</v>
      </c>
      <c r="BR38" s="106" t="s">
        <v>438</v>
      </c>
      <c r="BS38" s="106" t="s">
        <v>438</v>
      </c>
      <c r="BT38" s="109">
        <v>3171711571</v>
      </c>
      <c r="BU38" s="106" t="s">
        <v>438</v>
      </c>
      <c r="BV38" s="109">
        <v>6529</v>
      </c>
      <c r="BW38" s="109">
        <v>606087945</v>
      </c>
      <c r="BX38" s="109">
        <v>762403</v>
      </c>
      <c r="BY38" s="106">
        <v>273</v>
      </c>
      <c r="BZ38" s="109">
        <v>13945568</v>
      </c>
      <c r="CA38" s="106" t="s">
        <v>438</v>
      </c>
      <c r="CB38" s="106" t="s">
        <v>438</v>
      </c>
      <c r="CC38" s="109">
        <v>620033513</v>
      </c>
      <c r="CD38" s="106" t="s">
        <v>438</v>
      </c>
      <c r="CE38" s="109">
        <v>6089</v>
      </c>
      <c r="CF38" s="109">
        <v>1384815955</v>
      </c>
      <c r="CG38" s="109">
        <v>2483547</v>
      </c>
      <c r="CH38" s="109">
        <v>9333</v>
      </c>
      <c r="CI38" s="109">
        <v>888577488</v>
      </c>
      <c r="CJ38" s="106" t="s">
        <v>438</v>
      </c>
      <c r="CK38" s="106" t="s">
        <v>438</v>
      </c>
      <c r="CL38" s="109">
        <v>2273393443</v>
      </c>
      <c r="CM38" s="106" t="s">
        <v>438</v>
      </c>
    </row>
    <row r="39" spans="1:91">
      <c r="A39" s="108" t="s">
        <v>470</v>
      </c>
      <c r="B39" s="109">
        <v>8858</v>
      </c>
      <c r="C39" s="109">
        <v>1777763840</v>
      </c>
      <c r="D39" s="109">
        <v>2252260</v>
      </c>
      <c r="E39" s="109">
        <v>9309</v>
      </c>
      <c r="F39" s="109">
        <v>546121439</v>
      </c>
      <c r="G39" s="106" t="s">
        <v>438</v>
      </c>
      <c r="H39" s="106" t="s">
        <v>438</v>
      </c>
      <c r="I39" s="109">
        <v>2323885279</v>
      </c>
      <c r="J39" s="106" t="s">
        <v>438</v>
      </c>
      <c r="K39" s="109">
        <v>7793</v>
      </c>
      <c r="L39" s="109">
        <v>1087962073</v>
      </c>
      <c r="M39" s="109">
        <v>1204186</v>
      </c>
      <c r="N39" s="109">
        <v>6772</v>
      </c>
      <c r="O39" s="109">
        <v>221500760</v>
      </c>
      <c r="P39" s="106" t="s">
        <v>438</v>
      </c>
      <c r="Q39" s="106" t="s">
        <v>438</v>
      </c>
      <c r="R39" s="109">
        <v>1309462833</v>
      </c>
      <c r="S39" s="106" t="s">
        <v>438</v>
      </c>
      <c r="T39" s="109">
        <v>5245</v>
      </c>
      <c r="U39" s="109">
        <v>816354219</v>
      </c>
      <c r="V39" s="109">
        <v>933474</v>
      </c>
      <c r="W39" s="109">
        <v>4921</v>
      </c>
      <c r="X39" s="109">
        <v>193221000</v>
      </c>
      <c r="Y39" s="106" t="s">
        <v>438</v>
      </c>
      <c r="Z39" s="106" t="s">
        <v>438</v>
      </c>
      <c r="AA39" s="109">
        <v>1009575219</v>
      </c>
      <c r="AB39" s="106" t="s">
        <v>438</v>
      </c>
      <c r="AC39" s="109">
        <v>2548</v>
      </c>
      <c r="AD39" s="109">
        <v>271607854</v>
      </c>
      <c r="AE39" s="109">
        <v>270712</v>
      </c>
      <c r="AF39" s="106">
        <v>116</v>
      </c>
      <c r="AG39" s="109">
        <v>3468571</v>
      </c>
      <c r="AH39" s="106" t="s">
        <v>438</v>
      </c>
      <c r="AI39" s="106" t="s">
        <v>438</v>
      </c>
      <c r="AJ39" s="109">
        <v>275076425</v>
      </c>
      <c r="AK39" s="106" t="s">
        <v>438</v>
      </c>
      <c r="AL39" s="109">
        <v>1065</v>
      </c>
      <c r="AM39" s="109">
        <v>689801767</v>
      </c>
      <c r="AN39" s="109">
        <v>1048074</v>
      </c>
      <c r="AO39" s="109">
        <v>2537</v>
      </c>
      <c r="AP39" s="109">
        <v>324620679</v>
      </c>
      <c r="AQ39" s="106" t="s">
        <v>438</v>
      </c>
      <c r="AR39" s="106" t="s">
        <v>438</v>
      </c>
      <c r="AS39" s="109">
        <v>1014422446</v>
      </c>
      <c r="AT39" s="106" t="s">
        <v>438</v>
      </c>
      <c r="AU39" s="109">
        <v>26129</v>
      </c>
      <c r="AV39" s="109">
        <v>4180912784</v>
      </c>
      <c r="AW39" s="109">
        <v>5732064</v>
      </c>
      <c r="AX39" s="109">
        <v>36848</v>
      </c>
      <c r="AY39" s="109">
        <v>1585088246</v>
      </c>
      <c r="AZ39" s="106" t="s">
        <v>438</v>
      </c>
      <c r="BA39" s="106" t="s">
        <v>438</v>
      </c>
      <c r="BB39" s="109">
        <v>5766001030</v>
      </c>
      <c r="BC39" s="106" t="s">
        <v>438</v>
      </c>
      <c r="BD39" s="109">
        <v>20749</v>
      </c>
      <c r="BE39" s="109">
        <v>2729662398</v>
      </c>
      <c r="BF39" s="109">
        <v>3258167</v>
      </c>
      <c r="BG39" s="109">
        <v>27232</v>
      </c>
      <c r="BH39" s="109">
        <v>649339229</v>
      </c>
      <c r="BI39" s="106" t="s">
        <v>438</v>
      </c>
      <c r="BJ39" s="106" t="s">
        <v>438</v>
      </c>
      <c r="BK39" s="109">
        <v>3379001627</v>
      </c>
      <c r="BL39" s="106" t="s">
        <v>438</v>
      </c>
      <c r="BM39" s="109">
        <v>15252</v>
      </c>
      <c r="BN39" s="109">
        <v>2215352323</v>
      </c>
      <c r="BO39" s="109">
        <v>2697445</v>
      </c>
      <c r="BP39" s="109">
        <v>17945</v>
      </c>
      <c r="BQ39" s="109">
        <v>537095138</v>
      </c>
      <c r="BR39" s="106" t="s">
        <v>438</v>
      </c>
      <c r="BS39" s="106" t="s">
        <v>438</v>
      </c>
      <c r="BT39" s="109">
        <v>2752447461</v>
      </c>
      <c r="BU39" s="106" t="s">
        <v>438</v>
      </c>
      <c r="BV39" s="109">
        <v>5497</v>
      </c>
      <c r="BW39" s="109">
        <v>514310075</v>
      </c>
      <c r="BX39" s="109">
        <v>560722</v>
      </c>
      <c r="BY39" s="106">
        <v>248</v>
      </c>
      <c r="BZ39" s="109">
        <v>9111554</v>
      </c>
      <c r="CA39" s="106" t="s">
        <v>438</v>
      </c>
      <c r="CB39" s="106" t="s">
        <v>438</v>
      </c>
      <c r="CC39" s="109">
        <v>523421629</v>
      </c>
      <c r="CD39" s="106" t="s">
        <v>438</v>
      </c>
      <c r="CE39" s="109">
        <v>5380</v>
      </c>
      <c r="CF39" s="109">
        <v>1451250386</v>
      </c>
      <c r="CG39" s="109">
        <v>2473897</v>
      </c>
      <c r="CH39" s="109">
        <v>9616</v>
      </c>
      <c r="CI39" s="109">
        <v>935749017</v>
      </c>
      <c r="CJ39" s="106" t="s">
        <v>438</v>
      </c>
      <c r="CK39" s="106" t="s">
        <v>438</v>
      </c>
      <c r="CL39" s="109">
        <v>2386999403</v>
      </c>
      <c r="CM39" s="106" t="s">
        <v>438</v>
      </c>
    </row>
    <row r="40" spans="1:91">
      <c r="A40" s="108" t="s">
        <v>471</v>
      </c>
      <c r="B40" s="109">
        <v>12419</v>
      </c>
      <c r="C40" s="109">
        <v>2127854663</v>
      </c>
      <c r="D40" s="109">
        <v>2695735</v>
      </c>
      <c r="E40" s="109">
        <v>9538</v>
      </c>
      <c r="F40" s="109">
        <v>547208428</v>
      </c>
      <c r="G40" s="106" t="s">
        <v>438</v>
      </c>
      <c r="H40" s="106" t="s">
        <v>438</v>
      </c>
      <c r="I40" s="109">
        <v>2675063091</v>
      </c>
      <c r="J40" s="106" t="s">
        <v>438</v>
      </c>
      <c r="K40" s="109">
        <v>11291</v>
      </c>
      <c r="L40" s="109">
        <v>1524052975</v>
      </c>
      <c r="M40" s="109">
        <v>1759247</v>
      </c>
      <c r="N40" s="109">
        <v>6869</v>
      </c>
      <c r="O40" s="109">
        <v>243083722</v>
      </c>
      <c r="P40" s="106" t="s">
        <v>438</v>
      </c>
      <c r="Q40" s="106" t="s">
        <v>438</v>
      </c>
      <c r="R40" s="109">
        <v>1767136697</v>
      </c>
      <c r="S40" s="106" t="s">
        <v>438</v>
      </c>
      <c r="T40" s="109">
        <v>7186</v>
      </c>
      <c r="U40" s="109">
        <v>1100551570</v>
      </c>
      <c r="V40" s="109">
        <v>1291567</v>
      </c>
      <c r="W40" s="109">
        <v>4990</v>
      </c>
      <c r="X40" s="109">
        <v>211063111</v>
      </c>
      <c r="Y40" s="106" t="s">
        <v>438</v>
      </c>
      <c r="Z40" s="106" t="s">
        <v>438</v>
      </c>
      <c r="AA40" s="109">
        <v>1311614681</v>
      </c>
      <c r="AB40" s="106" t="s">
        <v>438</v>
      </c>
      <c r="AC40" s="109">
        <v>4105</v>
      </c>
      <c r="AD40" s="109">
        <v>423501405</v>
      </c>
      <c r="AE40" s="109">
        <v>467680</v>
      </c>
      <c r="AF40" s="106">
        <v>156</v>
      </c>
      <c r="AG40" s="109">
        <v>6769386</v>
      </c>
      <c r="AH40" s="106" t="s">
        <v>438</v>
      </c>
      <c r="AI40" s="106" t="s">
        <v>438</v>
      </c>
      <c r="AJ40" s="109">
        <v>430270791</v>
      </c>
      <c r="AK40" s="106" t="s">
        <v>438</v>
      </c>
      <c r="AL40" s="109">
        <v>1128</v>
      </c>
      <c r="AM40" s="109">
        <v>603801688</v>
      </c>
      <c r="AN40" s="109">
        <v>936488</v>
      </c>
      <c r="AO40" s="109">
        <v>2669</v>
      </c>
      <c r="AP40" s="109">
        <v>304124706</v>
      </c>
      <c r="AQ40" s="106" t="s">
        <v>438</v>
      </c>
      <c r="AR40" s="106" t="s">
        <v>438</v>
      </c>
      <c r="AS40" s="109">
        <v>907926394</v>
      </c>
      <c r="AT40" s="106" t="s">
        <v>438</v>
      </c>
      <c r="AU40" s="109">
        <v>32357</v>
      </c>
      <c r="AV40" s="109">
        <v>4880566713</v>
      </c>
      <c r="AW40" s="109">
        <v>6704395</v>
      </c>
      <c r="AX40" s="109">
        <v>38063</v>
      </c>
      <c r="AY40" s="109">
        <v>1627467142</v>
      </c>
      <c r="AZ40" s="106" t="s">
        <v>438</v>
      </c>
      <c r="BA40" s="106" t="s">
        <v>438</v>
      </c>
      <c r="BB40" s="109">
        <v>6508033855</v>
      </c>
      <c r="BC40" s="106" t="s">
        <v>438</v>
      </c>
      <c r="BD40" s="109">
        <v>26377</v>
      </c>
      <c r="BE40" s="109">
        <v>3576405766</v>
      </c>
      <c r="BF40" s="109">
        <v>4301973</v>
      </c>
      <c r="BG40" s="109">
        <v>28808</v>
      </c>
      <c r="BH40" s="109">
        <v>705884304</v>
      </c>
      <c r="BI40" s="106" t="s">
        <v>438</v>
      </c>
      <c r="BJ40" s="106" t="s">
        <v>438</v>
      </c>
      <c r="BK40" s="109">
        <v>4282290070</v>
      </c>
      <c r="BL40" s="106" t="s">
        <v>438</v>
      </c>
      <c r="BM40" s="109">
        <v>19193</v>
      </c>
      <c r="BN40" s="109">
        <v>2887531584</v>
      </c>
      <c r="BO40" s="109">
        <v>3503364</v>
      </c>
      <c r="BP40" s="109">
        <v>18646</v>
      </c>
      <c r="BQ40" s="109">
        <v>576322045</v>
      </c>
      <c r="BR40" s="106" t="s">
        <v>438</v>
      </c>
      <c r="BS40" s="106" t="s">
        <v>438</v>
      </c>
      <c r="BT40" s="109">
        <v>3463853629</v>
      </c>
      <c r="BU40" s="106" t="s">
        <v>438</v>
      </c>
      <c r="BV40" s="109">
        <v>7184</v>
      </c>
      <c r="BW40" s="109">
        <v>688874182</v>
      </c>
      <c r="BX40" s="109">
        <v>798609</v>
      </c>
      <c r="BY40" s="106">
        <v>324</v>
      </c>
      <c r="BZ40" s="109">
        <v>15133556</v>
      </c>
      <c r="CA40" s="106" t="s">
        <v>438</v>
      </c>
      <c r="CB40" s="106" t="s">
        <v>438</v>
      </c>
      <c r="CC40" s="109">
        <v>704007738</v>
      </c>
      <c r="CD40" s="106" t="s">
        <v>438</v>
      </c>
      <c r="CE40" s="109">
        <v>5980</v>
      </c>
      <c r="CF40" s="109">
        <v>1304160947</v>
      </c>
      <c r="CG40" s="109">
        <v>2402422</v>
      </c>
      <c r="CH40" s="109">
        <v>9255</v>
      </c>
      <c r="CI40" s="109">
        <v>921582838</v>
      </c>
      <c r="CJ40" s="106" t="s">
        <v>438</v>
      </c>
      <c r="CK40" s="106" t="s">
        <v>438</v>
      </c>
      <c r="CL40" s="109">
        <v>2225743785</v>
      </c>
      <c r="CM40" s="106" t="s">
        <v>438</v>
      </c>
    </row>
    <row r="41" spans="1:91">
      <c r="A41" s="108" t="s">
        <v>472</v>
      </c>
      <c r="B41" s="109">
        <v>8886</v>
      </c>
      <c r="C41" s="109">
        <v>1734667763</v>
      </c>
      <c r="D41" s="109">
        <v>2218971</v>
      </c>
      <c r="E41" s="109">
        <v>8736</v>
      </c>
      <c r="F41" s="109">
        <v>557981544</v>
      </c>
      <c r="G41" s="106" t="s">
        <v>438</v>
      </c>
      <c r="H41" s="106" t="s">
        <v>438</v>
      </c>
      <c r="I41" s="109">
        <v>2292649307</v>
      </c>
      <c r="J41" s="106" t="s">
        <v>438</v>
      </c>
      <c r="K41" s="109">
        <v>7832</v>
      </c>
      <c r="L41" s="109">
        <v>1151104034</v>
      </c>
      <c r="M41" s="109">
        <v>1308373</v>
      </c>
      <c r="N41" s="109">
        <v>6134</v>
      </c>
      <c r="O41" s="109">
        <v>228314378</v>
      </c>
      <c r="P41" s="106" t="s">
        <v>438</v>
      </c>
      <c r="Q41" s="106" t="s">
        <v>438</v>
      </c>
      <c r="R41" s="109">
        <v>1379418413</v>
      </c>
      <c r="S41" s="106" t="s">
        <v>438</v>
      </c>
      <c r="T41" s="109">
        <v>5347</v>
      </c>
      <c r="U41" s="109">
        <v>878436844</v>
      </c>
      <c r="V41" s="109">
        <v>1018091</v>
      </c>
      <c r="W41" s="109">
        <v>4520</v>
      </c>
      <c r="X41" s="109">
        <v>200491904</v>
      </c>
      <c r="Y41" s="106" t="s">
        <v>438</v>
      </c>
      <c r="Z41" s="106" t="s">
        <v>438</v>
      </c>
      <c r="AA41" s="109">
        <v>1078928748</v>
      </c>
      <c r="AB41" s="106" t="s">
        <v>438</v>
      </c>
      <c r="AC41" s="109">
        <v>2485</v>
      </c>
      <c r="AD41" s="109">
        <v>272667190</v>
      </c>
      <c r="AE41" s="109">
        <v>290282</v>
      </c>
      <c r="AF41" s="106">
        <v>130</v>
      </c>
      <c r="AG41" s="109">
        <v>5579841</v>
      </c>
      <c r="AH41" s="106" t="s">
        <v>438</v>
      </c>
      <c r="AI41" s="106" t="s">
        <v>438</v>
      </c>
      <c r="AJ41" s="109">
        <v>278247032</v>
      </c>
      <c r="AK41" s="106" t="s">
        <v>438</v>
      </c>
      <c r="AL41" s="109">
        <v>1054</v>
      </c>
      <c r="AM41" s="109">
        <v>583563728</v>
      </c>
      <c r="AN41" s="109">
        <v>910598</v>
      </c>
      <c r="AO41" s="109">
        <v>2602</v>
      </c>
      <c r="AP41" s="109">
        <v>329667166</v>
      </c>
      <c r="AQ41" s="106" t="s">
        <v>438</v>
      </c>
      <c r="AR41" s="106" t="s">
        <v>438</v>
      </c>
      <c r="AS41" s="109">
        <v>913230894</v>
      </c>
      <c r="AT41" s="106" t="s">
        <v>438</v>
      </c>
      <c r="AU41" s="109">
        <v>26221</v>
      </c>
      <c r="AV41" s="109">
        <v>4304466511</v>
      </c>
      <c r="AW41" s="109">
        <v>5995205</v>
      </c>
      <c r="AX41" s="109">
        <v>35851</v>
      </c>
      <c r="AY41" s="109">
        <v>1725177961</v>
      </c>
      <c r="AZ41" s="106" t="s">
        <v>438</v>
      </c>
      <c r="BA41" s="106" t="s">
        <v>438</v>
      </c>
      <c r="BB41" s="109">
        <v>6029644472</v>
      </c>
      <c r="BC41" s="106" t="s">
        <v>438</v>
      </c>
      <c r="BD41" s="109">
        <v>20085</v>
      </c>
      <c r="BE41" s="109">
        <v>2939013114</v>
      </c>
      <c r="BF41" s="109">
        <v>3494261</v>
      </c>
      <c r="BG41" s="109">
        <v>26701</v>
      </c>
      <c r="BH41" s="109">
        <v>707128124</v>
      </c>
      <c r="BI41" s="106" t="s">
        <v>438</v>
      </c>
      <c r="BJ41" s="106" t="s">
        <v>438</v>
      </c>
      <c r="BK41" s="109">
        <v>3646141238</v>
      </c>
      <c r="BL41" s="106" t="s">
        <v>438</v>
      </c>
      <c r="BM41" s="109">
        <v>15394</v>
      </c>
      <c r="BN41" s="109">
        <v>2463221530</v>
      </c>
      <c r="BO41" s="109">
        <v>2950694</v>
      </c>
      <c r="BP41" s="109">
        <v>17840</v>
      </c>
      <c r="BQ41" s="109">
        <v>588690717</v>
      </c>
      <c r="BR41" s="106" t="s">
        <v>438</v>
      </c>
      <c r="BS41" s="106" t="s">
        <v>438</v>
      </c>
      <c r="BT41" s="109">
        <v>3051912247</v>
      </c>
      <c r="BU41" s="106" t="s">
        <v>438</v>
      </c>
      <c r="BV41" s="109">
        <v>4691</v>
      </c>
      <c r="BW41" s="109">
        <v>475791584</v>
      </c>
      <c r="BX41" s="109">
        <v>543567</v>
      </c>
      <c r="BY41" s="106">
        <v>288</v>
      </c>
      <c r="BZ41" s="109">
        <v>14283204</v>
      </c>
      <c r="CA41" s="106" t="s">
        <v>438</v>
      </c>
      <c r="CB41" s="106" t="s">
        <v>438</v>
      </c>
      <c r="CC41" s="109">
        <v>490074788</v>
      </c>
      <c r="CD41" s="106" t="s">
        <v>438</v>
      </c>
      <c r="CE41" s="109">
        <v>6136</v>
      </c>
      <c r="CF41" s="109">
        <v>1365453398</v>
      </c>
      <c r="CG41" s="109">
        <v>2500944</v>
      </c>
      <c r="CH41" s="109">
        <v>9150</v>
      </c>
      <c r="CI41" s="109">
        <v>1018049837</v>
      </c>
      <c r="CJ41" s="106" t="s">
        <v>438</v>
      </c>
      <c r="CK41" s="106" t="s">
        <v>438</v>
      </c>
      <c r="CL41" s="109">
        <v>2383503234</v>
      </c>
      <c r="CM41" s="106" t="s">
        <v>438</v>
      </c>
    </row>
    <row r="42" spans="1:91">
      <c r="A42" s="108" t="s">
        <v>473</v>
      </c>
      <c r="B42" s="109">
        <v>9234</v>
      </c>
      <c r="C42" s="109">
        <v>1883995388</v>
      </c>
      <c r="D42" s="109">
        <v>2212783</v>
      </c>
      <c r="E42" s="109">
        <v>8887</v>
      </c>
      <c r="F42" s="109">
        <v>599364543</v>
      </c>
      <c r="G42" s="106" t="s">
        <v>438</v>
      </c>
      <c r="H42" s="106" t="s">
        <v>438</v>
      </c>
      <c r="I42" s="109">
        <v>2483359931</v>
      </c>
      <c r="J42" s="106" t="s">
        <v>438</v>
      </c>
      <c r="K42" s="109">
        <v>8123</v>
      </c>
      <c r="L42" s="109">
        <v>1240962739</v>
      </c>
      <c r="M42" s="109">
        <v>1372895</v>
      </c>
      <c r="N42" s="109">
        <v>6053</v>
      </c>
      <c r="O42" s="109">
        <v>227937132</v>
      </c>
      <c r="P42" s="106" t="s">
        <v>438</v>
      </c>
      <c r="Q42" s="106" t="s">
        <v>438</v>
      </c>
      <c r="R42" s="109">
        <v>1468899871</v>
      </c>
      <c r="S42" s="106" t="s">
        <v>438</v>
      </c>
      <c r="T42" s="109">
        <v>5575</v>
      </c>
      <c r="U42" s="109">
        <v>957448508</v>
      </c>
      <c r="V42" s="109">
        <v>1090216</v>
      </c>
      <c r="W42" s="109">
        <v>4567</v>
      </c>
      <c r="X42" s="109">
        <v>195403929</v>
      </c>
      <c r="Y42" s="106" t="s">
        <v>438</v>
      </c>
      <c r="Z42" s="106" t="s">
        <v>438</v>
      </c>
      <c r="AA42" s="109">
        <v>1152852437</v>
      </c>
      <c r="AB42" s="106" t="s">
        <v>438</v>
      </c>
      <c r="AC42" s="109">
        <v>2548</v>
      </c>
      <c r="AD42" s="109">
        <v>283514231</v>
      </c>
      <c r="AE42" s="109">
        <v>282679</v>
      </c>
      <c r="AF42" s="106">
        <v>109</v>
      </c>
      <c r="AG42" s="109">
        <v>11388546</v>
      </c>
      <c r="AH42" s="106" t="s">
        <v>438</v>
      </c>
      <c r="AI42" s="106" t="s">
        <v>438</v>
      </c>
      <c r="AJ42" s="109">
        <v>294902777</v>
      </c>
      <c r="AK42" s="106" t="s">
        <v>438</v>
      </c>
      <c r="AL42" s="109">
        <v>1111</v>
      </c>
      <c r="AM42" s="109">
        <v>643032649</v>
      </c>
      <c r="AN42" s="109">
        <v>839888</v>
      </c>
      <c r="AO42" s="109">
        <v>2834</v>
      </c>
      <c r="AP42" s="109">
        <v>371427411</v>
      </c>
      <c r="AQ42" s="106" t="s">
        <v>438</v>
      </c>
      <c r="AR42" s="106" t="s">
        <v>438</v>
      </c>
      <c r="AS42" s="109">
        <v>1014460060</v>
      </c>
      <c r="AT42" s="106" t="s">
        <v>438</v>
      </c>
      <c r="AU42" s="109">
        <v>28113</v>
      </c>
      <c r="AV42" s="109">
        <v>4837408813</v>
      </c>
      <c r="AW42" s="109">
        <v>6566472</v>
      </c>
      <c r="AX42" s="109">
        <v>36652</v>
      </c>
      <c r="AY42" s="109">
        <v>1728662985</v>
      </c>
      <c r="AZ42" s="106" t="s">
        <v>438</v>
      </c>
      <c r="BA42" s="106" t="s">
        <v>438</v>
      </c>
      <c r="BB42" s="109">
        <v>6566071798</v>
      </c>
      <c r="BC42" s="106" t="s">
        <v>438</v>
      </c>
      <c r="BD42" s="109">
        <v>20539</v>
      </c>
      <c r="BE42" s="109">
        <v>3157090541</v>
      </c>
      <c r="BF42" s="109">
        <v>3663299</v>
      </c>
      <c r="BG42" s="109">
        <v>27111</v>
      </c>
      <c r="BH42" s="109">
        <v>723998872</v>
      </c>
      <c r="BI42" s="106" t="s">
        <v>438</v>
      </c>
      <c r="BJ42" s="106" t="s">
        <v>438</v>
      </c>
      <c r="BK42" s="109">
        <v>3881089413</v>
      </c>
      <c r="BL42" s="106" t="s">
        <v>438</v>
      </c>
      <c r="BM42" s="109">
        <v>15805</v>
      </c>
      <c r="BN42" s="109">
        <v>2658427234</v>
      </c>
      <c r="BO42" s="109">
        <v>3122871</v>
      </c>
      <c r="BP42" s="109">
        <v>18273</v>
      </c>
      <c r="BQ42" s="109">
        <v>596786988</v>
      </c>
      <c r="BR42" s="106" t="s">
        <v>438</v>
      </c>
      <c r="BS42" s="106" t="s">
        <v>438</v>
      </c>
      <c r="BT42" s="109">
        <v>3255214222</v>
      </c>
      <c r="BU42" s="106" t="s">
        <v>438</v>
      </c>
      <c r="BV42" s="109">
        <v>4734</v>
      </c>
      <c r="BW42" s="109">
        <v>498663307</v>
      </c>
      <c r="BX42" s="109">
        <v>540428</v>
      </c>
      <c r="BY42" s="106">
        <v>274</v>
      </c>
      <c r="BZ42" s="109">
        <v>22516164</v>
      </c>
      <c r="CA42" s="106" t="s">
        <v>438</v>
      </c>
      <c r="CB42" s="106" t="s">
        <v>438</v>
      </c>
      <c r="CC42" s="109">
        <v>521179471</v>
      </c>
      <c r="CD42" s="106" t="s">
        <v>438</v>
      </c>
      <c r="CE42" s="109">
        <v>7574</v>
      </c>
      <c r="CF42" s="109">
        <v>1680318272</v>
      </c>
      <c r="CG42" s="109">
        <v>2903173</v>
      </c>
      <c r="CH42" s="109">
        <v>9541</v>
      </c>
      <c r="CI42" s="109">
        <v>1004664113</v>
      </c>
      <c r="CJ42" s="106" t="s">
        <v>438</v>
      </c>
      <c r="CK42" s="106" t="s">
        <v>438</v>
      </c>
      <c r="CL42" s="109">
        <v>2684982385</v>
      </c>
      <c r="CM42" s="106" t="s">
        <v>438</v>
      </c>
    </row>
    <row r="43" spans="1:91">
      <c r="A43" s="108" t="s">
        <v>474</v>
      </c>
      <c r="B43" s="109">
        <v>13336</v>
      </c>
      <c r="C43" s="109">
        <v>2436576655</v>
      </c>
      <c r="D43" s="109">
        <v>2901673</v>
      </c>
      <c r="E43" s="109">
        <v>9392</v>
      </c>
      <c r="F43" s="109">
        <v>656922766</v>
      </c>
      <c r="G43" s="106" t="s">
        <v>438</v>
      </c>
      <c r="H43" s="106" t="s">
        <v>438</v>
      </c>
      <c r="I43" s="109">
        <v>3093499421</v>
      </c>
      <c r="J43" s="106" t="s">
        <v>438</v>
      </c>
      <c r="K43" s="109">
        <v>12201</v>
      </c>
      <c r="L43" s="109">
        <v>1814837771</v>
      </c>
      <c r="M43" s="109">
        <v>1932212</v>
      </c>
      <c r="N43" s="109">
        <v>6660</v>
      </c>
      <c r="O43" s="109">
        <v>261191009</v>
      </c>
      <c r="P43" s="106" t="s">
        <v>438</v>
      </c>
      <c r="Q43" s="106" t="s">
        <v>438</v>
      </c>
      <c r="R43" s="109">
        <v>2076028780</v>
      </c>
      <c r="S43" s="106" t="s">
        <v>438</v>
      </c>
      <c r="T43" s="109">
        <v>6908</v>
      </c>
      <c r="U43" s="109">
        <v>1305393749</v>
      </c>
      <c r="V43" s="109">
        <v>1423014</v>
      </c>
      <c r="W43" s="109">
        <v>5251</v>
      </c>
      <c r="X43" s="109">
        <v>234509644</v>
      </c>
      <c r="Y43" s="106" t="s">
        <v>438</v>
      </c>
      <c r="Z43" s="106" t="s">
        <v>438</v>
      </c>
      <c r="AA43" s="109">
        <v>1539903393</v>
      </c>
      <c r="AB43" s="106" t="s">
        <v>438</v>
      </c>
      <c r="AC43" s="109">
        <v>5293</v>
      </c>
      <c r="AD43" s="109">
        <v>509444022</v>
      </c>
      <c r="AE43" s="109">
        <v>509198</v>
      </c>
      <c r="AF43" s="106">
        <v>99</v>
      </c>
      <c r="AG43" s="109">
        <v>5975200</v>
      </c>
      <c r="AH43" s="106" t="s">
        <v>438</v>
      </c>
      <c r="AI43" s="106" t="s">
        <v>438</v>
      </c>
      <c r="AJ43" s="109">
        <v>515419222</v>
      </c>
      <c r="AK43" s="106" t="s">
        <v>438</v>
      </c>
      <c r="AL43" s="109">
        <v>1135</v>
      </c>
      <c r="AM43" s="109">
        <v>621738884</v>
      </c>
      <c r="AN43" s="109">
        <v>969461</v>
      </c>
      <c r="AO43" s="109">
        <v>2732</v>
      </c>
      <c r="AP43" s="109">
        <v>395731757</v>
      </c>
      <c r="AQ43" s="106" t="s">
        <v>438</v>
      </c>
      <c r="AR43" s="106" t="s">
        <v>438</v>
      </c>
      <c r="AS43" s="109">
        <v>1017470641</v>
      </c>
      <c r="AT43" s="106" t="s">
        <v>438</v>
      </c>
      <c r="AU43" s="109">
        <v>34671</v>
      </c>
      <c r="AV43" s="109">
        <v>5915387903</v>
      </c>
      <c r="AW43" s="109">
        <v>7798485</v>
      </c>
      <c r="AX43" s="109">
        <v>39144</v>
      </c>
      <c r="AY43" s="109">
        <v>1871309548</v>
      </c>
      <c r="AZ43" s="106" t="s">
        <v>438</v>
      </c>
      <c r="BA43" s="106" t="s">
        <v>438</v>
      </c>
      <c r="BB43" s="109">
        <v>7786697451</v>
      </c>
      <c r="BC43" s="106" t="s">
        <v>438</v>
      </c>
      <c r="BD43" s="109">
        <v>27208</v>
      </c>
      <c r="BE43" s="109">
        <v>4335564989</v>
      </c>
      <c r="BF43" s="109">
        <v>4797807</v>
      </c>
      <c r="BG43" s="109">
        <v>29708</v>
      </c>
      <c r="BH43" s="109">
        <v>833403041</v>
      </c>
      <c r="BI43" s="106" t="s">
        <v>438</v>
      </c>
      <c r="BJ43" s="106" t="s">
        <v>438</v>
      </c>
      <c r="BK43" s="109">
        <v>5168968030</v>
      </c>
      <c r="BL43" s="106" t="s">
        <v>438</v>
      </c>
      <c r="BM43" s="109">
        <v>19140</v>
      </c>
      <c r="BN43" s="109">
        <v>3509913501</v>
      </c>
      <c r="BO43" s="109">
        <v>3948986</v>
      </c>
      <c r="BP43" s="109">
        <v>20218</v>
      </c>
      <c r="BQ43" s="109">
        <v>692797523</v>
      </c>
      <c r="BR43" s="106" t="s">
        <v>438</v>
      </c>
      <c r="BS43" s="106" t="s">
        <v>438</v>
      </c>
      <c r="BT43" s="109">
        <v>4202711024</v>
      </c>
      <c r="BU43" s="106" t="s">
        <v>438</v>
      </c>
      <c r="BV43" s="109">
        <v>8068</v>
      </c>
      <c r="BW43" s="109">
        <v>825651488</v>
      </c>
      <c r="BX43" s="109">
        <v>848821</v>
      </c>
      <c r="BY43" s="106">
        <v>351</v>
      </c>
      <c r="BZ43" s="109">
        <v>24172715</v>
      </c>
      <c r="CA43" s="106" t="s">
        <v>438</v>
      </c>
      <c r="CB43" s="106" t="s">
        <v>438</v>
      </c>
      <c r="CC43" s="109">
        <v>849824203</v>
      </c>
      <c r="CD43" s="106" t="s">
        <v>438</v>
      </c>
      <c r="CE43" s="109">
        <v>7463</v>
      </c>
      <c r="CF43" s="109">
        <v>1579822914</v>
      </c>
      <c r="CG43" s="109">
        <v>3000678</v>
      </c>
      <c r="CH43" s="109">
        <v>9436</v>
      </c>
      <c r="CI43" s="109">
        <v>1037906507</v>
      </c>
      <c r="CJ43" s="106" t="s">
        <v>438</v>
      </c>
      <c r="CK43" s="106" t="s">
        <v>438</v>
      </c>
      <c r="CL43" s="109">
        <v>2617729421</v>
      </c>
      <c r="CM43" s="106" t="s">
        <v>438</v>
      </c>
    </row>
    <row r="44" spans="1:91">
      <c r="A44" s="108" t="s">
        <v>475</v>
      </c>
      <c r="B44" s="109">
        <v>12405</v>
      </c>
      <c r="C44" s="109">
        <v>2592772662</v>
      </c>
      <c r="D44" s="109">
        <v>2805220</v>
      </c>
      <c r="E44" s="109">
        <v>9100</v>
      </c>
      <c r="F44" s="109">
        <v>683134081</v>
      </c>
      <c r="G44" s="106" t="s">
        <v>438</v>
      </c>
      <c r="H44" s="106" t="s">
        <v>438</v>
      </c>
      <c r="I44" s="109">
        <v>3275906743</v>
      </c>
      <c r="J44" s="106" t="s">
        <v>438</v>
      </c>
      <c r="K44" s="109">
        <v>11341</v>
      </c>
      <c r="L44" s="109">
        <v>1910807064</v>
      </c>
      <c r="M44" s="109">
        <v>1909797</v>
      </c>
      <c r="N44" s="109">
        <v>6791</v>
      </c>
      <c r="O44" s="109">
        <v>299995205</v>
      </c>
      <c r="P44" s="106" t="s">
        <v>438</v>
      </c>
      <c r="Q44" s="106" t="s">
        <v>438</v>
      </c>
      <c r="R44" s="109">
        <v>2210802269</v>
      </c>
      <c r="S44" s="106" t="s">
        <v>438</v>
      </c>
      <c r="T44" s="109">
        <v>6880</v>
      </c>
      <c r="U44" s="109">
        <v>1377361893</v>
      </c>
      <c r="V44" s="109">
        <v>1423911</v>
      </c>
      <c r="W44" s="109">
        <v>5345</v>
      </c>
      <c r="X44" s="109">
        <v>264680358</v>
      </c>
      <c r="Y44" s="106" t="s">
        <v>438</v>
      </c>
      <c r="Z44" s="106" t="s">
        <v>438</v>
      </c>
      <c r="AA44" s="109">
        <v>1642042251</v>
      </c>
      <c r="AB44" s="106" t="s">
        <v>438</v>
      </c>
      <c r="AC44" s="109">
        <v>4461</v>
      </c>
      <c r="AD44" s="109">
        <v>533445171</v>
      </c>
      <c r="AE44" s="109">
        <v>485886</v>
      </c>
      <c r="AF44" s="106">
        <v>135</v>
      </c>
      <c r="AG44" s="109">
        <v>11670772</v>
      </c>
      <c r="AH44" s="106" t="s">
        <v>438</v>
      </c>
      <c r="AI44" s="106" t="s">
        <v>438</v>
      </c>
      <c r="AJ44" s="109">
        <v>545115943</v>
      </c>
      <c r="AK44" s="106" t="s">
        <v>438</v>
      </c>
      <c r="AL44" s="109">
        <v>1064</v>
      </c>
      <c r="AM44" s="109">
        <v>681965598</v>
      </c>
      <c r="AN44" s="109">
        <v>895423</v>
      </c>
      <c r="AO44" s="109">
        <v>2309</v>
      </c>
      <c r="AP44" s="109">
        <v>383138876</v>
      </c>
      <c r="AQ44" s="106" t="s">
        <v>438</v>
      </c>
      <c r="AR44" s="106" t="s">
        <v>438</v>
      </c>
      <c r="AS44" s="109">
        <v>1065104474</v>
      </c>
      <c r="AT44" s="106" t="s">
        <v>438</v>
      </c>
      <c r="AU44" s="109">
        <v>37289</v>
      </c>
      <c r="AV44" s="109">
        <v>7071790886</v>
      </c>
      <c r="AW44" s="109">
        <v>8614314</v>
      </c>
      <c r="AX44" s="109">
        <v>40564</v>
      </c>
      <c r="AY44" s="109">
        <v>2009477171</v>
      </c>
      <c r="AZ44" s="106" t="s">
        <v>438</v>
      </c>
      <c r="BA44" s="106" t="s">
        <v>438</v>
      </c>
      <c r="BB44" s="109">
        <v>9081268057</v>
      </c>
      <c r="BC44" s="106" t="s">
        <v>438</v>
      </c>
      <c r="BD44" s="109">
        <v>29914</v>
      </c>
      <c r="BE44" s="109">
        <v>5300018016</v>
      </c>
      <c r="BF44" s="109">
        <v>5523797</v>
      </c>
      <c r="BG44" s="109">
        <v>32083</v>
      </c>
      <c r="BH44" s="109">
        <v>957062335</v>
      </c>
      <c r="BI44" s="106" t="s">
        <v>438</v>
      </c>
      <c r="BJ44" s="106" t="s">
        <v>438</v>
      </c>
      <c r="BK44" s="109">
        <v>6257080352</v>
      </c>
      <c r="BL44" s="106" t="s">
        <v>438</v>
      </c>
      <c r="BM44" s="109">
        <v>22414</v>
      </c>
      <c r="BN44" s="109">
        <v>4372537527</v>
      </c>
      <c r="BO44" s="109">
        <v>4673759</v>
      </c>
      <c r="BP44" s="109">
        <v>22064</v>
      </c>
      <c r="BQ44" s="109">
        <v>792152831</v>
      </c>
      <c r="BR44" s="106" t="s">
        <v>438</v>
      </c>
      <c r="BS44" s="106" t="s">
        <v>438</v>
      </c>
      <c r="BT44" s="109">
        <v>5164690358</v>
      </c>
      <c r="BU44" s="106" t="s">
        <v>438</v>
      </c>
      <c r="BV44" s="109">
        <v>7500</v>
      </c>
      <c r="BW44" s="109">
        <v>927480490</v>
      </c>
      <c r="BX44" s="109">
        <v>850038</v>
      </c>
      <c r="BY44" s="106">
        <v>358</v>
      </c>
      <c r="BZ44" s="109">
        <v>28650081</v>
      </c>
      <c r="CA44" s="106" t="s">
        <v>438</v>
      </c>
      <c r="CB44" s="106" t="s">
        <v>438</v>
      </c>
      <c r="CC44" s="109">
        <v>956130570</v>
      </c>
      <c r="CD44" s="106" t="s">
        <v>438</v>
      </c>
      <c r="CE44" s="109">
        <v>7375</v>
      </c>
      <c r="CF44" s="109">
        <v>1771772870</v>
      </c>
      <c r="CG44" s="109">
        <v>3090517</v>
      </c>
      <c r="CH44" s="109">
        <v>8481</v>
      </c>
      <c r="CI44" s="109">
        <v>1052414836</v>
      </c>
      <c r="CJ44" s="106" t="s">
        <v>438</v>
      </c>
      <c r="CK44" s="106" t="s">
        <v>438</v>
      </c>
      <c r="CL44" s="109">
        <v>2824187706</v>
      </c>
      <c r="CM44" s="106" t="s">
        <v>438</v>
      </c>
    </row>
    <row r="45" spans="1:91">
      <c r="A45" s="108" t="s">
        <v>476</v>
      </c>
      <c r="B45" s="109">
        <v>13470</v>
      </c>
      <c r="C45" s="109">
        <v>3104490060</v>
      </c>
      <c r="D45" s="109">
        <v>3066273</v>
      </c>
      <c r="E45" s="109">
        <v>9415</v>
      </c>
      <c r="F45" s="109">
        <v>746502507</v>
      </c>
      <c r="G45" s="106" t="s">
        <v>438</v>
      </c>
      <c r="H45" s="106" t="s">
        <v>438</v>
      </c>
      <c r="I45" s="109">
        <v>3850992567</v>
      </c>
      <c r="J45" s="106" t="s">
        <v>438</v>
      </c>
      <c r="K45" s="109">
        <v>12166</v>
      </c>
      <c r="L45" s="109">
        <v>2070890197</v>
      </c>
      <c r="M45" s="109">
        <v>1880256</v>
      </c>
      <c r="N45" s="109">
        <v>7116</v>
      </c>
      <c r="O45" s="109">
        <v>374257717</v>
      </c>
      <c r="P45" s="106" t="s">
        <v>438</v>
      </c>
      <c r="Q45" s="106" t="s">
        <v>438</v>
      </c>
      <c r="R45" s="109">
        <v>2445147914</v>
      </c>
      <c r="S45" s="106" t="s">
        <v>438</v>
      </c>
      <c r="T45" s="109">
        <v>6169</v>
      </c>
      <c r="U45" s="109">
        <v>1380496233</v>
      </c>
      <c r="V45" s="109">
        <v>1338130</v>
      </c>
      <c r="W45" s="109">
        <v>5609</v>
      </c>
      <c r="X45" s="109">
        <v>323439975</v>
      </c>
      <c r="Y45" s="106" t="s">
        <v>438</v>
      </c>
      <c r="Z45" s="106" t="s">
        <v>438</v>
      </c>
      <c r="AA45" s="109">
        <v>1703936208</v>
      </c>
      <c r="AB45" s="106" t="s">
        <v>438</v>
      </c>
      <c r="AC45" s="109">
        <v>5997</v>
      </c>
      <c r="AD45" s="109">
        <v>690393964</v>
      </c>
      <c r="AE45" s="109">
        <v>542126</v>
      </c>
      <c r="AF45" s="106">
        <v>136</v>
      </c>
      <c r="AG45" s="109">
        <v>22109801</v>
      </c>
      <c r="AH45" s="106" t="s">
        <v>438</v>
      </c>
      <c r="AI45" s="106" t="s">
        <v>438</v>
      </c>
      <c r="AJ45" s="109">
        <v>712503765</v>
      </c>
      <c r="AK45" s="106" t="s">
        <v>438</v>
      </c>
      <c r="AL45" s="109">
        <v>1304</v>
      </c>
      <c r="AM45" s="109">
        <v>1033599863</v>
      </c>
      <c r="AN45" s="109">
        <v>1186017</v>
      </c>
      <c r="AO45" s="109">
        <v>2299</v>
      </c>
      <c r="AP45" s="109">
        <v>372244790</v>
      </c>
      <c r="AQ45" s="106" t="s">
        <v>438</v>
      </c>
      <c r="AR45" s="106" t="s">
        <v>438</v>
      </c>
      <c r="AS45" s="109">
        <v>1405844653</v>
      </c>
      <c r="AT45" s="106" t="s">
        <v>438</v>
      </c>
      <c r="AU45" s="109">
        <v>39905</v>
      </c>
      <c r="AV45" s="109">
        <v>8523308449</v>
      </c>
      <c r="AW45" s="109">
        <v>9431850</v>
      </c>
      <c r="AX45" s="109">
        <v>42116</v>
      </c>
      <c r="AY45" s="109">
        <v>2196602139</v>
      </c>
      <c r="AZ45" s="106" t="s">
        <v>438</v>
      </c>
      <c r="BA45" s="106" t="s">
        <v>438</v>
      </c>
      <c r="BB45" s="109">
        <v>10719910588</v>
      </c>
      <c r="BC45" s="106" t="s">
        <v>438</v>
      </c>
      <c r="BD45" s="109">
        <v>31423</v>
      </c>
      <c r="BE45" s="109">
        <v>5891736763</v>
      </c>
      <c r="BF45" s="109">
        <v>5664582</v>
      </c>
      <c r="BG45" s="109">
        <v>33880</v>
      </c>
      <c r="BH45" s="109">
        <v>1118243869</v>
      </c>
      <c r="BI45" s="106" t="s">
        <v>438</v>
      </c>
      <c r="BJ45" s="106" t="s">
        <v>438</v>
      </c>
      <c r="BK45" s="109">
        <v>7009980632</v>
      </c>
      <c r="BL45" s="106" t="s">
        <v>438</v>
      </c>
      <c r="BM45" s="109">
        <v>21942</v>
      </c>
      <c r="BN45" s="109">
        <v>4720586741</v>
      </c>
      <c r="BO45" s="109">
        <v>4689337</v>
      </c>
      <c r="BP45" s="109">
        <v>23281</v>
      </c>
      <c r="BQ45" s="109">
        <v>916635050</v>
      </c>
      <c r="BR45" s="106" t="s">
        <v>438</v>
      </c>
      <c r="BS45" s="106" t="s">
        <v>438</v>
      </c>
      <c r="BT45" s="109">
        <v>5637221791</v>
      </c>
      <c r="BU45" s="106" t="s">
        <v>438</v>
      </c>
      <c r="BV45" s="109">
        <v>9481</v>
      </c>
      <c r="BW45" s="109">
        <v>1171150022</v>
      </c>
      <c r="BX45" s="109">
        <v>975245</v>
      </c>
      <c r="BY45" s="106">
        <v>488</v>
      </c>
      <c r="BZ45" s="109">
        <v>43693579</v>
      </c>
      <c r="CA45" s="106" t="s">
        <v>438</v>
      </c>
      <c r="CB45" s="106" t="s">
        <v>438</v>
      </c>
      <c r="CC45" s="109">
        <v>1214843601</v>
      </c>
      <c r="CD45" s="106" t="s">
        <v>438</v>
      </c>
      <c r="CE45" s="109">
        <v>8482</v>
      </c>
      <c r="CF45" s="109">
        <v>2631571686</v>
      </c>
      <c r="CG45" s="109">
        <v>3767268</v>
      </c>
      <c r="CH45" s="109">
        <v>8236</v>
      </c>
      <c r="CI45" s="109">
        <v>1078358270</v>
      </c>
      <c r="CJ45" s="106" t="s">
        <v>438</v>
      </c>
      <c r="CK45" s="106" t="s">
        <v>438</v>
      </c>
      <c r="CL45" s="109">
        <v>3709929956</v>
      </c>
      <c r="CM45" s="106" t="s">
        <v>438</v>
      </c>
    </row>
    <row r="46" spans="1:91">
      <c r="A46" s="108" t="s">
        <v>477</v>
      </c>
      <c r="B46" s="109">
        <v>8818</v>
      </c>
      <c r="C46" s="109">
        <v>2812786675</v>
      </c>
      <c r="D46" s="109">
        <v>2416600</v>
      </c>
      <c r="E46" s="109">
        <v>9039</v>
      </c>
      <c r="F46" s="109">
        <v>736099124</v>
      </c>
      <c r="G46" s="106" t="s">
        <v>438</v>
      </c>
      <c r="H46" s="106" t="s">
        <v>438</v>
      </c>
      <c r="I46" s="109">
        <v>3548885799</v>
      </c>
      <c r="J46" s="106" t="s">
        <v>438</v>
      </c>
      <c r="K46" s="109">
        <v>7719</v>
      </c>
      <c r="L46" s="109">
        <v>1753230376</v>
      </c>
      <c r="M46" s="109">
        <v>1361891</v>
      </c>
      <c r="N46" s="109">
        <v>6733</v>
      </c>
      <c r="O46" s="109">
        <v>375080857</v>
      </c>
      <c r="P46" s="106" t="s">
        <v>438</v>
      </c>
      <c r="Q46" s="106" t="s">
        <v>438</v>
      </c>
      <c r="R46" s="109">
        <v>2128311233</v>
      </c>
      <c r="S46" s="106" t="s">
        <v>438</v>
      </c>
      <c r="T46" s="109">
        <v>5017</v>
      </c>
      <c r="U46" s="109">
        <v>1221032308</v>
      </c>
      <c r="V46" s="109">
        <v>1103080</v>
      </c>
      <c r="W46" s="109">
        <v>5389</v>
      </c>
      <c r="X46" s="109">
        <v>318946369</v>
      </c>
      <c r="Y46" s="106" t="s">
        <v>438</v>
      </c>
      <c r="Z46" s="106" t="s">
        <v>438</v>
      </c>
      <c r="AA46" s="109">
        <v>1539978677</v>
      </c>
      <c r="AB46" s="106" t="s">
        <v>438</v>
      </c>
      <c r="AC46" s="109">
        <v>2702</v>
      </c>
      <c r="AD46" s="109">
        <v>532198068</v>
      </c>
      <c r="AE46" s="109">
        <v>258811</v>
      </c>
      <c r="AF46" s="106">
        <v>173</v>
      </c>
      <c r="AG46" s="109">
        <v>27676702</v>
      </c>
      <c r="AH46" s="106" t="s">
        <v>438</v>
      </c>
      <c r="AI46" s="106" t="s">
        <v>438</v>
      </c>
      <c r="AJ46" s="109">
        <v>559874770</v>
      </c>
      <c r="AK46" s="106" t="s">
        <v>438</v>
      </c>
      <c r="AL46" s="109">
        <v>1099</v>
      </c>
      <c r="AM46" s="109">
        <v>1059556299</v>
      </c>
      <c r="AN46" s="109">
        <v>1054709</v>
      </c>
      <c r="AO46" s="109">
        <v>2306</v>
      </c>
      <c r="AP46" s="109">
        <v>361018267</v>
      </c>
      <c r="AQ46" s="106" t="s">
        <v>438</v>
      </c>
      <c r="AR46" s="106" t="s">
        <v>438</v>
      </c>
      <c r="AS46" s="109">
        <v>1420574566</v>
      </c>
      <c r="AT46" s="106" t="s">
        <v>438</v>
      </c>
      <c r="AU46" s="109">
        <v>34345</v>
      </c>
      <c r="AV46" s="109">
        <v>8686135149</v>
      </c>
      <c r="AW46" s="109">
        <v>8722271</v>
      </c>
      <c r="AX46" s="109">
        <v>42417</v>
      </c>
      <c r="AY46" s="109">
        <v>2299690726</v>
      </c>
      <c r="AZ46" s="106" t="s">
        <v>438</v>
      </c>
      <c r="BA46" s="106" t="s">
        <v>438</v>
      </c>
      <c r="BB46" s="109">
        <v>10985825875</v>
      </c>
      <c r="BC46" s="106" t="s">
        <v>438</v>
      </c>
      <c r="BD46" s="109">
        <v>26023</v>
      </c>
      <c r="BE46" s="109">
        <v>5667902145</v>
      </c>
      <c r="BF46" s="109">
        <v>4965783</v>
      </c>
      <c r="BG46" s="109">
        <v>33900</v>
      </c>
      <c r="BH46" s="109">
        <v>1173652279</v>
      </c>
      <c r="BI46" s="106" t="s">
        <v>438</v>
      </c>
      <c r="BJ46" s="106" t="s">
        <v>438</v>
      </c>
      <c r="BK46" s="109">
        <v>6841554424</v>
      </c>
      <c r="BL46" s="106" t="s">
        <v>438</v>
      </c>
      <c r="BM46" s="109">
        <v>19390</v>
      </c>
      <c r="BN46" s="109">
        <v>4522446307</v>
      </c>
      <c r="BO46" s="109">
        <v>4221057</v>
      </c>
      <c r="BP46" s="109">
        <v>23633</v>
      </c>
      <c r="BQ46" s="109">
        <v>955134241</v>
      </c>
      <c r="BR46" s="106" t="s">
        <v>438</v>
      </c>
      <c r="BS46" s="106" t="s">
        <v>438</v>
      </c>
      <c r="BT46" s="109">
        <v>5477580548</v>
      </c>
      <c r="BU46" s="106" t="s">
        <v>438</v>
      </c>
      <c r="BV46" s="109">
        <v>6633</v>
      </c>
      <c r="BW46" s="109">
        <v>1145455838</v>
      </c>
      <c r="BX46" s="109">
        <v>744726</v>
      </c>
      <c r="BY46" s="106">
        <v>491</v>
      </c>
      <c r="BZ46" s="109">
        <v>44251262</v>
      </c>
      <c r="CA46" s="106" t="s">
        <v>438</v>
      </c>
      <c r="CB46" s="106" t="s">
        <v>438</v>
      </c>
      <c r="CC46" s="109">
        <v>1189707100</v>
      </c>
      <c r="CD46" s="106" t="s">
        <v>438</v>
      </c>
      <c r="CE46" s="109">
        <v>8322</v>
      </c>
      <c r="CF46" s="109">
        <v>3018233004</v>
      </c>
      <c r="CG46" s="109">
        <v>3756488</v>
      </c>
      <c r="CH46" s="109">
        <v>8517</v>
      </c>
      <c r="CI46" s="109">
        <v>1126038447</v>
      </c>
      <c r="CJ46" s="106" t="s">
        <v>438</v>
      </c>
      <c r="CK46" s="106" t="s">
        <v>438</v>
      </c>
      <c r="CL46" s="109">
        <v>4144271451</v>
      </c>
      <c r="CM46" s="106" t="s">
        <v>438</v>
      </c>
    </row>
    <row r="47" spans="1:91">
      <c r="A47" s="108" t="s">
        <v>478</v>
      </c>
      <c r="B47" s="109">
        <v>8330</v>
      </c>
      <c r="C47" s="109">
        <v>2733379602</v>
      </c>
      <c r="D47" s="109">
        <v>2157828</v>
      </c>
      <c r="E47" s="109">
        <v>8954</v>
      </c>
      <c r="F47" s="109">
        <v>786702625</v>
      </c>
      <c r="G47" s="106" t="s">
        <v>438</v>
      </c>
      <c r="H47" s="106" t="s">
        <v>438</v>
      </c>
      <c r="I47" s="109">
        <v>3520082227</v>
      </c>
      <c r="J47" s="106" t="s">
        <v>438</v>
      </c>
      <c r="K47" s="109">
        <v>7236</v>
      </c>
      <c r="L47" s="109">
        <v>1674520516</v>
      </c>
      <c r="M47" s="109">
        <v>1340127</v>
      </c>
      <c r="N47" s="109">
        <v>6464</v>
      </c>
      <c r="O47" s="109">
        <v>394892019</v>
      </c>
      <c r="P47" s="106" t="s">
        <v>438</v>
      </c>
      <c r="Q47" s="106" t="s">
        <v>438</v>
      </c>
      <c r="R47" s="109">
        <v>2069412535</v>
      </c>
      <c r="S47" s="106" t="s">
        <v>438</v>
      </c>
      <c r="T47" s="109">
        <v>4856</v>
      </c>
      <c r="U47" s="109">
        <v>1260223197</v>
      </c>
      <c r="V47" s="109">
        <v>1084193</v>
      </c>
      <c r="W47" s="109">
        <v>5160</v>
      </c>
      <c r="X47" s="109">
        <v>327007826</v>
      </c>
      <c r="Y47" s="106" t="s">
        <v>438</v>
      </c>
      <c r="Z47" s="106" t="s">
        <v>438</v>
      </c>
      <c r="AA47" s="109">
        <v>1587231023</v>
      </c>
      <c r="AB47" s="106" t="s">
        <v>438</v>
      </c>
      <c r="AC47" s="109">
        <v>2380</v>
      </c>
      <c r="AD47" s="109">
        <v>414297319</v>
      </c>
      <c r="AE47" s="109">
        <v>255934</v>
      </c>
      <c r="AF47" s="106">
        <v>174</v>
      </c>
      <c r="AG47" s="109">
        <v>38786799</v>
      </c>
      <c r="AH47" s="106" t="s">
        <v>438</v>
      </c>
      <c r="AI47" s="106" t="s">
        <v>438</v>
      </c>
      <c r="AJ47" s="109">
        <v>453084118</v>
      </c>
      <c r="AK47" s="106" t="s">
        <v>438</v>
      </c>
      <c r="AL47" s="109">
        <v>1094</v>
      </c>
      <c r="AM47" s="109">
        <v>1058859086</v>
      </c>
      <c r="AN47" s="109">
        <v>817701</v>
      </c>
      <c r="AO47" s="109">
        <v>2490</v>
      </c>
      <c r="AP47" s="109">
        <v>391810606</v>
      </c>
      <c r="AQ47" s="106" t="s">
        <v>438</v>
      </c>
      <c r="AR47" s="106" t="s">
        <v>438</v>
      </c>
      <c r="AS47" s="109">
        <v>1450669692</v>
      </c>
      <c r="AT47" s="106" t="s">
        <v>438</v>
      </c>
      <c r="AU47" s="109">
        <v>34231</v>
      </c>
      <c r="AV47" s="109">
        <v>8817001427</v>
      </c>
      <c r="AW47" s="109">
        <v>8077112</v>
      </c>
      <c r="AX47" s="109">
        <v>42677</v>
      </c>
      <c r="AY47" s="109">
        <v>2384628654</v>
      </c>
      <c r="AZ47" s="106" t="s">
        <v>438</v>
      </c>
      <c r="BA47" s="106" t="s">
        <v>438</v>
      </c>
      <c r="BB47" s="109">
        <v>11201630081</v>
      </c>
      <c r="BC47" s="106" t="s">
        <v>438</v>
      </c>
      <c r="BD47" s="109">
        <v>25952</v>
      </c>
      <c r="BE47" s="109">
        <v>5995652507</v>
      </c>
      <c r="BF47" s="109">
        <v>4967159</v>
      </c>
      <c r="BG47" s="109">
        <v>33748</v>
      </c>
      <c r="BH47" s="109">
        <v>1264227228</v>
      </c>
      <c r="BI47" s="106" t="s">
        <v>438</v>
      </c>
      <c r="BJ47" s="106" t="s">
        <v>438</v>
      </c>
      <c r="BK47" s="109">
        <v>7259879735</v>
      </c>
      <c r="BL47" s="106" t="s">
        <v>438</v>
      </c>
      <c r="BM47" s="109">
        <v>19996</v>
      </c>
      <c r="BN47" s="109">
        <v>5037939065</v>
      </c>
      <c r="BO47" s="109">
        <v>4307106</v>
      </c>
      <c r="BP47" s="109">
        <v>23494</v>
      </c>
      <c r="BQ47" s="109">
        <v>1023727885</v>
      </c>
      <c r="BR47" s="106" t="s">
        <v>438</v>
      </c>
      <c r="BS47" s="106" t="s">
        <v>438</v>
      </c>
      <c r="BT47" s="109">
        <v>6061666950</v>
      </c>
      <c r="BU47" s="106" t="s">
        <v>438</v>
      </c>
      <c r="BV47" s="109">
        <v>5956</v>
      </c>
      <c r="BW47" s="109">
        <v>957713442</v>
      </c>
      <c r="BX47" s="109">
        <v>660053</v>
      </c>
      <c r="BY47" s="106">
        <v>518</v>
      </c>
      <c r="BZ47" s="109">
        <v>55763847</v>
      </c>
      <c r="CA47" s="106" t="s">
        <v>438</v>
      </c>
      <c r="CB47" s="106" t="s">
        <v>438</v>
      </c>
      <c r="CC47" s="109">
        <v>1013477289</v>
      </c>
      <c r="CD47" s="106" t="s">
        <v>438</v>
      </c>
      <c r="CE47" s="109">
        <v>8279</v>
      </c>
      <c r="CF47" s="109">
        <v>2821348920</v>
      </c>
      <c r="CG47" s="109">
        <v>3109953</v>
      </c>
      <c r="CH47" s="109">
        <v>8929</v>
      </c>
      <c r="CI47" s="109">
        <v>1120401426</v>
      </c>
      <c r="CJ47" s="106" t="s">
        <v>438</v>
      </c>
      <c r="CK47" s="106" t="s">
        <v>438</v>
      </c>
      <c r="CL47" s="109">
        <v>3941750346</v>
      </c>
      <c r="CM47" s="106" t="s">
        <v>438</v>
      </c>
    </row>
    <row r="48" spans="1:91">
      <c r="A48" s="108" t="s">
        <v>479</v>
      </c>
      <c r="B48" s="109">
        <v>7131</v>
      </c>
      <c r="C48" s="109">
        <v>2735047599</v>
      </c>
      <c r="D48" s="109">
        <v>2279483</v>
      </c>
      <c r="E48" s="109">
        <v>8623</v>
      </c>
      <c r="F48" s="109">
        <v>882520749</v>
      </c>
      <c r="G48" s="106" t="s">
        <v>438</v>
      </c>
      <c r="H48" s="106" t="s">
        <v>438</v>
      </c>
      <c r="I48" s="109">
        <v>3617568348</v>
      </c>
      <c r="J48" s="106" t="s">
        <v>438</v>
      </c>
      <c r="K48" s="109">
        <v>6183</v>
      </c>
      <c r="L48" s="109">
        <v>1758350761</v>
      </c>
      <c r="M48" s="109">
        <v>1284942</v>
      </c>
      <c r="N48" s="109">
        <v>6064</v>
      </c>
      <c r="O48" s="109">
        <v>440252558</v>
      </c>
      <c r="P48" s="106" t="s">
        <v>438</v>
      </c>
      <c r="Q48" s="106" t="s">
        <v>438</v>
      </c>
      <c r="R48" s="109">
        <v>2198603319</v>
      </c>
      <c r="S48" s="106" t="s">
        <v>438</v>
      </c>
      <c r="T48" s="109">
        <v>4490</v>
      </c>
      <c r="U48" s="109">
        <v>1325056455</v>
      </c>
      <c r="V48" s="109">
        <v>1053985</v>
      </c>
      <c r="W48" s="109">
        <v>4867</v>
      </c>
      <c r="X48" s="109">
        <v>353252658</v>
      </c>
      <c r="Y48" s="106" t="s">
        <v>438</v>
      </c>
      <c r="Z48" s="106" t="s">
        <v>438</v>
      </c>
      <c r="AA48" s="109">
        <v>1678309113</v>
      </c>
      <c r="AB48" s="106" t="s">
        <v>438</v>
      </c>
      <c r="AC48" s="109">
        <v>1693</v>
      </c>
      <c r="AD48" s="109">
        <v>433294306</v>
      </c>
      <c r="AE48" s="109">
        <v>230957</v>
      </c>
      <c r="AF48" s="106">
        <v>228</v>
      </c>
      <c r="AG48" s="109">
        <v>60212187</v>
      </c>
      <c r="AH48" s="106" t="s">
        <v>438</v>
      </c>
      <c r="AI48" s="106" t="s">
        <v>438</v>
      </c>
      <c r="AJ48" s="109">
        <v>493506493</v>
      </c>
      <c r="AK48" s="106" t="s">
        <v>438</v>
      </c>
      <c r="AL48" s="106">
        <v>948</v>
      </c>
      <c r="AM48" s="109">
        <v>976696838</v>
      </c>
      <c r="AN48" s="109">
        <v>994541</v>
      </c>
      <c r="AO48" s="109">
        <v>2559</v>
      </c>
      <c r="AP48" s="109">
        <v>442268191</v>
      </c>
      <c r="AQ48" s="106" t="s">
        <v>438</v>
      </c>
      <c r="AR48" s="106" t="s">
        <v>438</v>
      </c>
      <c r="AS48" s="109">
        <v>1418965029</v>
      </c>
      <c r="AT48" s="106" t="s">
        <v>438</v>
      </c>
      <c r="AU48" s="109">
        <v>33867</v>
      </c>
      <c r="AV48" s="109">
        <v>9423686575</v>
      </c>
      <c r="AW48" s="109">
        <v>8565415</v>
      </c>
      <c r="AX48" s="109">
        <v>41496</v>
      </c>
      <c r="AY48" s="109">
        <v>2570591126</v>
      </c>
      <c r="AZ48" s="106" t="s">
        <v>438</v>
      </c>
      <c r="BA48" s="106" t="s">
        <v>438</v>
      </c>
      <c r="BB48" s="109">
        <v>11994277701</v>
      </c>
      <c r="BC48" s="106" t="s">
        <v>438</v>
      </c>
      <c r="BD48" s="109">
        <v>25590</v>
      </c>
      <c r="BE48" s="109">
        <v>6450511207</v>
      </c>
      <c r="BF48" s="109">
        <v>5021487</v>
      </c>
      <c r="BG48" s="109">
        <v>32856</v>
      </c>
      <c r="BH48" s="109">
        <v>1327760042</v>
      </c>
      <c r="BI48" s="106" t="s">
        <v>438</v>
      </c>
      <c r="BJ48" s="106" t="s">
        <v>438</v>
      </c>
      <c r="BK48" s="109">
        <v>7778271249</v>
      </c>
      <c r="BL48" s="106" t="s">
        <v>438</v>
      </c>
      <c r="BM48" s="109">
        <v>20282</v>
      </c>
      <c r="BN48" s="109">
        <v>5421699992</v>
      </c>
      <c r="BO48" s="109">
        <v>4341749</v>
      </c>
      <c r="BP48" s="109">
        <v>23463</v>
      </c>
      <c r="BQ48" s="109">
        <v>1078152408</v>
      </c>
      <c r="BR48" s="106" t="s">
        <v>438</v>
      </c>
      <c r="BS48" s="106" t="s">
        <v>438</v>
      </c>
      <c r="BT48" s="109">
        <v>6499852400</v>
      </c>
      <c r="BU48" s="106" t="s">
        <v>438</v>
      </c>
      <c r="BV48" s="109">
        <v>5308</v>
      </c>
      <c r="BW48" s="109">
        <v>1028811215</v>
      </c>
      <c r="BX48" s="109">
        <v>679738</v>
      </c>
      <c r="BY48" s="106">
        <v>528</v>
      </c>
      <c r="BZ48" s="109">
        <v>73827424</v>
      </c>
      <c r="CA48" s="106" t="s">
        <v>438</v>
      </c>
      <c r="CB48" s="106" t="s">
        <v>438</v>
      </c>
      <c r="CC48" s="109">
        <v>1102638639</v>
      </c>
      <c r="CD48" s="106" t="s">
        <v>438</v>
      </c>
      <c r="CE48" s="109">
        <v>8277</v>
      </c>
      <c r="CF48" s="109">
        <v>2973175368</v>
      </c>
      <c r="CG48" s="109">
        <v>3543928</v>
      </c>
      <c r="CH48" s="109">
        <v>8640</v>
      </c>
      <c r="CI48" s="109">
        <v>1242831084</v>
      </c>
      <c r="CJ48" s="106" t="s">
        <v>438</v>
      </c>
      <c r="CK48" s="106" t="s">
        <v>438</v>
      </c>
      <c r="CL48" s="109">
        <v>4216006452</v>
      </c>
      <c r="CM48" s="106" t="s">
        <v>438</v>
      </c>
    </row>
    <row r="49" spans="1:91">
      <c r="A49" s="108" t="s">
        <v>480</v>
      </c>
      <c r="B49" s="109">
        <v>5286</v>
      </c>
      <c r="C49" s="109">
        <v>2395601790</v>
      </c>
      <c r="D49" s="109">
        <v>1845939</v>
      </c>
      <c r="E49" s="109">
        <v>7562</v>
      </c>
      <c r="F49" s="109">
        <v>862252624</v>
      </c>
      <c r="G49" s="106" t="s">
        <v>438</v>
      </c>
      <c r="H49" s="106" t="s">
        <v>438</v>
      </c>
      <c r="I49" s="109">
        <v>3257854414</v>
      </c>
      <c r="J49" s="106" t="s">
        <v>438</v>
      </c>
      <c r="K49" s="109">
        <v>4320</v>
      </c>
      <c r="L49" s="109">
        <v>1228567419</v>
      </c>
      <c r="M49" s="109">
        <v>914650</v>
      </c>
      <c r="N49" s="109">
        <v>5233</v>
      </c>
      <c r="O49" s="109">
        <v>426517395</v>
      </c>
      <c r="P49" s="106" t="s">
        <v>438</v>
      </c>
      <c r="Q49" s="106" t="s">
        <v>438</v>
      </c>
      <c r="R49" s="109">
        <v>1655084814</v>
      </c>
      <c r="S49" s="106" t="s">
        <v>438</v>
      </c>
      <c r="T49" s="109">
        <v>2863</v>
      </c>
      <c r="U49" s="109">
        <v>908180663</v>
      </c>
      <c r="V49" s="109">
        <v>668375</v>
      </c>
      <c r="W49" s="109">
        <v>4234</v>
      </c>
      <c r="X49" s="109">
        <v>339687707</v>
      </c>
      <c r="Y49" s="106" t="s">
        <v>438</v>
      </c>
      <c r="Z49" s="106" t="s">
        <v>438</v>
      </c>
      <c r="AA49" s="109">
        <v>1247868370</v>
      </c>
      <c r="AB49" s="106" t="s">
        <v>438</v>
      </c>
      <c r="AC49" s="109">
        <v>1457</v>
      </c>
      <c r="AD49" s="109">
        <v>320386756</v>
      </c>
      <c r="AE49" s="109">
        <v>246275</v>
      </c>
      <c r="AF49" s="106">
        <v>205</v>
      </c>
      <c r="AG49" s="109">
        <v>61382400</v>
      </c>
      <c r="AH49" s="106" t="s">
        <v>438</v>
      </c>
      <c r="AI49" s="106" t="s">
        <v>438</v>
      </c>
      <c r="AJ49" s="109">
        <v>381769156</v>
      </c>
      <c r="AK49" s="106" t="s">
        <v>438</v>
      </c>
      <c r="AL49" s="106">
        <v>966</v>
      </c>
      <c r="AM49" s="109">
        <v>1167034371</v>
      </c>
      <c r="AN49" s="109">
        <v>931289</v>
      </c>
      <c r="AO49" s="109">
        <v>2329</v>
      </c>
      <c r="AP49" s="109">
        <v>435735229</v>
      </c>
      <c r="AQ49" s="106" t="s">
        <v>438</v>
      </c>
      <c r="AR49" s="106" t="s">
        <v>438</v>
      </c>
      <c r="AS49" s="109">
        <v>1602769600</v>
      </c>
      <c r="AT49" s="106" t="s">
        <v>438</v>
      </c>
      <c r="AU49" s="109">
        <v>26976</v>
      </c>
      <c r="AV49" s="109">
        <v>8203457324</v>
      </c>
      <c r="AW49" s="109">
        <v>7193352</v>
      </c>
      <c r="AX49" s="109">
        <v>37895</v>
      </c>
      <c r="AY49" s="109">
        <v>2563634767</v>
      </c>
      <c r="AZ49" s="106" t="s">
        <v>438</v>
      </c>
      <c r="BA49" s="106" t="s">
        <v>438</v>
      </c>
      <c r="BB49" s="109">
        <v>10767092091</v>
      </c>
      <c r="BC49" s="106" t="s">
        <v>438</v>
      </c>
      <c r="BD49" s="109">
        <v>18456</v>
      </c>
      <c r="BE49" s="109">
        <v>4905494066</v>
      </c>
      <c r="BF49" s="109">
        <v>3633232</v>
      </c>
      <c r="BG49" s="109">
        <v>29362</v>
      </c>
      <c r="BH49" s="109">
        <v>1330774765</v>
      </c>
      <c r="BI49" s="106" t="s">
        <v>438</v>
      </c>
      <c r="BJ49" s="106" t="s">
        <v>438</v>
      </c>
      <c r="BK49" s="109">
        <v>6236268831</v>
      </c>
      <c r="BL49" s="106" t="s">
        <v>438</v>
      </c>
      <c r="BM49" s="109">
        <v>14179</v>
      </c>
      <c r="BN49" s="109">
        <v>4126970346</v>
      </c>
      <c r="BO49" s="109">
        <v>3072689</v>
      </c>
      <c r="BP49" s="109">
        <v>21379</v>
      </c>
      <c r="BQ49" s="109">
        <v>1060559410</v>
      </c>
      <c r="BR49" s="106" t="s">
        <v>438</v>
      </c>
      <c r="BS49" s="106" t="s">
        <v>438</v>
      </c>
      <c r="BT49" s="109">
        <v>5187529756</v>
      </c>
      <c r="BU49" s="106" t="s">
        <v>438</v>
      </c>
      <c r="BV49" s="109">
        <v>4277</v>
      </c>
      <c r="BW49" s="109">
        <v>778523720</v>
      </c>
      <c r="BX49" s="109">
        <v>560543</v>
      </c>
      <c r="BY49" s="106">
        <v>504</v>
      </c>
      <c r="BZ49" s="109">
        <v>92043724</v>
      </c>
      <c r="CA49" s="106" t="s">
        <v>438</v>
      </c>
      <c r="CB49" s="106" t="s">
        <v>438</v>
      </c>
      <c r="CC49" s="109">
        <v>870567444</v>
      </c>
      <c r="CD49" s="106" t="s">
        <v>438</v>
      </c>
      <c r="CE49" s="109">
        <v>8520</v>
      </c>
      <c r="CF49" s="109">
        <v>3297963258</v>
      </c>
      <c r="CG49" s="109">
        <v>3560120</v>
      </c>
      <c r="CH49" s="109">
        <v>8533</v>
      </c>
      <c r="CI49" s="109">
        <v>1232860002</v>
      </c>
      <c r="CJ49" s="106" t="s">
        <v>438</v>
      </c>
      <c r="CK49" s="106" t="s">
        <v>438</v>
      </c>
      <c r="CL49" s="109">
        <v>4530823260</v>
      </c>
      <c r="CM49" s="106" t="s">
        <v>438</v>
      </c>
    </row>
    <row r="50" spans="1:91">
      <c r="A50" s="108" t="s">
        <v>481</v>
      </c>
      <c r="B50" s="109">
        <v>4219</v>
      </c>
      <c r="C50" s="109">
        <v>2131469915</v>
      </c>
      <c r="D50" s="109">
        <v>1308512</v>
      </c>
      <c r="E50" s="109">
        <v>6812</v>
      </c>
      <c r="F50" s="109">
        <v>806115388</v>
      </c>
      <c r="G50" s="106" t="s">
        <v>438</v>
      </c>
      <c r="H50" s="106" t="s">
        <v>438</v>
      </c>
      <c r="I50" s="109">
        <v>2937585303</v>
      </c>
      <c r="J50" s="106" t="s">
        <v>438</v>
      </c>
      <c r="K50" s="109">
        <v>3487</v>
      </c>
      <c r="L50" s="109">
        <v>990624336</v>
      </c>
      <c r="M50" s="109">
        <v>672742</v>
      </c>
      <c r="N50" s="109">
        <v>4795</v>
      </c>
      <c r="O50" s="109">
        <v>412059754</v>
      </c>
      <c r="P50" s="106" t="s">
        <v>438</v>
      </c>
      <c r="Q50" s="106" t="s">
        <v>438</v>
      </c>
      <c r="R50" s="109">
        <v>1402684090</v>
      </c>
      <c r="S50" s="106" t="s">
        <v>438</v>
      </c>
      <c r="T50" s="109">
        <v>2421</v>
      </c>
      <c r="U50" s="109">
        <v>819783916</v>
      </c>
      <c r="V50" s="109">
        <v>559177</v>
      </c>
      <c r="W50" s="109">
        <v>3853</v>
      </c>
      <c r="X50" s="109">
        <v>312090399</v>
      </c>
      <c r="Y50" s="106" t="s">
        <v>438</v>
      </c>
      <c r="Z50" s="106" t="s">
        <v>438</v>
      </c>
      <c r="AA50" s="109">
        <v>1131874315</v>
      </c>
      <c r="AB50" s="106" t="s">
        <v>438</v>
      </c>
      <c r="AC50" s="109">
        <v>1066</v>
      </c>
      <c r="AD50" s="109">
        <v>170840420</v>
      </c>
      <c r="AE50" s="109">
        <v>113565</v>
      </c>
      <c r="AF50" s="106">
        <v>306</v>
      </c>
      <c r="AG50" s="109">
        <v>77498017</v>
      </c>
      <c r="AH50" s="106" t="s">
        <v>438</v>
      </c>
      <c r="AI50" s="106" t="s">
        <v>438</v>
      </c>
      <c r="AJ50" s="109">
        <v>248338437</v>
      </c>
      <c r="AK50" s="106" t="s">
        <v>438</v>
      </c>
      <c r="AL50" s="106">
        <v>732</v>
      </c>
      <c r="AM50" s="109">
        <v>1140845579</v>
      </c>
      <c r="AN50" s="109">
        <v>635770</v>
      </c>
      <c r="AO50" s="109">
        <v>2017</v>
      </c>
      <c r="AP50" s="109">
        <v>394055634</v>
      </c>
      <c r="AQ50" s="106" t="s">
        <v>438</v>
      </c>
      <c r="AR50" s="106" t="s">
        <v>438</v>
      </c>
      <c r="AS50" s="109">
        <v>1534901213</v>
      </c>
      <c r="AT50" s="106" t="s">
        <v>438</v>
      </c>
      <c r="AU50" s="109">
        <v>20438</v>
      </c>
      <c r="AV50" s="109">
        <v>7254333358</v>
      </c>
      <c r="AW50" s="109">
        <v>5278156</v>
      </c>
      <c r="AX50" s="109">
        <v>33444</v>
      </c>
      <c r="AY50" s="109">
        <v>2397135470</v>
      </c>
      <c r="AZ50" s="106" t="s">
        <v>438</v>
      </c>
      <c r="BA50" s="106" t="s">
        <v>438</v>
      </c>
      <c r="BB50" s="109">
        <v>9651468828</v>
      </c>
      <c r="BC50" s="106" t="s">
        <v>438</v>
      </c>
      <c r="BD50" s="109">
        <v>14425</v>
      </c>
      <c r="BE50" s="109">
        <v>3906969112</v>
      </c>
      <c r="BF50" s="109">
        <v>2818783</v>
      </c>
      <c r="BG50" s="109">
        <v>25836</v>
      </c>
      <c r="BH50" s="109">
        <v>1210851164</v>
      </c>
      <c r="BI50" s="106" t="s">
        <v>438</v>
      </c>
      <c r="BJ50" s="106" t="s">
        <v>438</v>
      </c>
      <c r="BK50" s="109">
        <v>5117820276</v>
      </c>
      <c r="BL50" s="106" t="s">
        <v>438</v>
      </c>
      <c r="BM50" s="109">
        <v>11574</v>
      </c>
      <c r="BN50" s="109">
        <v>3471108548</v>
      </c>
      <c r="BO50" s="109">
        <v>2512005</v>
      </c>
      <c r="BP50" s="109">
        <v>19231</v>
      </c>
      <c r="BQ50" s="109">
        <v>973283213</v>
      </c>
      <c r="BR50" s="106" t="s">
        <v>438</v>
      </c>
      <c r="BS50" s="106" t="s">
        <v>438</v>
      </c>
      <c r="BT50" s="109">
        <v>4444391761</v>
      </c>
      <c r="BU50" s="106" t="s">
        <v>438</v>
      </c>
      <c r="BV50" s="109">
        <v>2851</v>
      </c>
      <c r="BW50" s="109">
        <v>435860564</v>
      </c>
      <c r="BX50" s="109">
        <v>306778</v>
      </c>
      <c r="BY50" s="106">
        <v>652</v>
      </c>
      <c r="BZ50" s="109">
        <v>95926221</v>
      </c>
      <c r="CA50" s="106" t="s">
        <v>438</v>
      </c>
      <c r="CB50" s="106" t="s">
        <v>438</v>
      </c>
      <c r="CC50" s="109">
        <v>531786785</v>
      </c>
      <c r="CD50" s="106" t="s">
        <v>438</v>
      </c>
      <c r="CE50" s="109">
        <v>6013</v>
      </c>
      <c r="CF50" s="109">
        <v>3347364246</v>
      </c>
      <c r="CG50" s="109">
        <v>2459373</v>
      </c>
      <c r="CH50" s="109">
        <v>7608</v>
      </c>
      <c r="CI50" s="109">
        <v>1186284306</v>
      </c>
      <c r="CJ50" s="106" t="s">
        <v>438</v>
      </c>
      <c r="CK50" s="106" t="s">
        <v>438</v>
      </c>
      <c r="CL50" s="109">
        <v>4533648552</v>
      </c>
      <c r="CM50" s="106" t="s">
        <v>438</v>
      </c>
    </row>
    <row r="51" spans="1:91">
      <c r="A51" s="108" t="s">
        <v>482</v>
      </c>
      <c r="B51" s="109">
        <v>4337</v>
      </c>
      <c r="C51" s="109">
        <v>1975927115</v>
      </c>
      <c r="D51" s="109">
        <v>1375677</v>
      </c>
      <c r="E51" s="109">
        <v>7227</v>
      </c>
      <c r="F51" s="109">
        <v>835705196</v>
      </c>
      <c r="G51" s="106" t="s">
        <v>438</v>
      </c>
      <c r="H51" s="106" t="s">
        <v>438</v>
      </c>
      <c r="I51" s="109">
        <v>2811632311</v>
      </c>
      <c r="J51" s="106" t="s">
        <v>438</v>
      </c>
      <c r="K51" s="109">
        <v>3613</v>
      </c>
      <c r="L51" s="109">
        <v>1116014060</v>
      </c>
      <c r="M51" s="109">
        <v>791144</v>
      </c>
      <c r="N51" s="109">
        <v>5107</v>
      </c>
      <c r="O51" s="109">
        <v>426396334</v>
      </c>
      <c r="P51" s="106" t="s">
        <v>438</v>
      </c>
      <c r="Q51" s="106" t="s">
        <v>438</v>
      </c>
      <c r="R51" s="109">
        <v>1542410394</v>
      </c>
      <c r="S51" s="106" t="s">
        <v>438</v>
      </c>
      <c r="T51" s="109">
        <v>3019</v>
      </c>
      <c r="U51" s="109">
        <v>988126212</v>
      </c>
      <c r="V51" s="109">
        <v>703489</v>
      </c>
      <c r="W51" s="109">
        <v>4187</v>
      </c>
      <c r="X51" s="109">
        <v>340274515</v>
      </c>
      <c r="Y51" s="106" t="s">
        <v>438</v>
      </c>
      <c r="Z51" s="106" t="s">
        <v>438</v>
      </c>
      <c r="AA51" s="109">
        <v>1328400727</v>
      </c>
      <c r="AB51" s="106" t="s">
        <v>438</v>
      </c>
      <c r="AC51" s="106">
        <v>594</v>
      </c>
      <c r="AD51" s="109">
        <v>127887848</v>
      </c>
      <c r="AE51" s="109">
        <v>87655</v>
      </c>
      <c r="AF51" s="106">
        <v>274</v>
      </c>
      <c r="AG51" s="109">
        <v>62672389</v>
      </c>
      <c r="AH51" s="106" t="s">
        <v>438</v>
      </c>
      <c r="AI51" s="106" t="s">
        <v>438</v>
      </c>
      <c r="AJ51" s="109">
        <v>190560237</v>
      </c>
      <c r="AK51" s="106" t="s">
        <v>438</v>
      </c>
      <c r="AL51" s="106">
        <v>724</v>
      </c>
      <c r="AM51" s="109">
        <v>859913055</v>
      </c>
      <c r="AN51" s="109">
        <v>584533</v>
      </c>
      <c r="AO51" s="109">
        <v>2120</v>
      </c>
      <c r="AP51" s="109">
        <v>409308862</v>
      </c>
      <c r="AQ51" s="106" t="s">
        <v>438</v>
      </c>
      <c r="AR51" s="106" t="s">
        <v>438</v>
      </c>
      <c r="AS51" s="109">
        <v>1269221917</v>
      </c>
      <c r="AT51" s="106" t="s">
        <v>438</v>
      </c>
      <c r="AU51" s="109">
        <v>21397</v>
      </c>
      <c r="AV51" s="109">
        <v>6899869687</v>
      </c>
      <c r="AW51" s="109">
        <v>5382107</v>
      </c>
      <c r="AX51" s="109">
        <v>34009</v>
      </c>
      <c r="AY51" s="109">
        <v>2457246108</v>
      </c>
      <c r="AZ51" s="106" t="s">
        <v>438</v>
      </c>
      <c r="BA51" s="106" t="s">
        <v>438</v>
      </c>
      <c r="BB51" s="109">
        <v>9357115795</v>
      </c>
      <c r="BC51" s="106" t="s">
        <v>438</v>
      </c>
      <c r="BD51" s="109">
        <v>15602</v>
      </c>
      <c r="BE51" s="109">
        <v>4340616605</v>
      </c>
      <c r="BF51" s="109">
        <v>3113124</v>
      </c>
      <c r="BG51" s="109">
        <v>26256</v>
      </c>
      <c r="BH51" s="109">
        <v>1233427726</v>
      </c>
      <c r="BI51" s="106" t="s">
        <v>438</v>
      </c>
      <c r="BJ51" s="106" t="s">
        <v>438</v>
      </c>
      <c r="BK51" s="109">
        <v>5574044331</v>
      </c>
      <c r="BL51" s="106" t="s">
        <v>438</v>
      </c>
      <c r="BM51" s="109">
        <v>13066</v>
      </c>
      <c r="BN51" s="109">
        <v>3924497321</v>
      </c>
      <c r="BO51" s="109">
        <v>2822197</v>
      </c>
      <c r="BP51" s="109">
        <v>20043</v>
      </c>
      <c r="BQ51" s="109">
        <v>973188547</v>
      </c>
      <c r="BR51" s="106" t="s">
        <v>438</v>
      </c>
      <c r="BS51" s="106" t="s">
        <v>438</v>
      </c>
      <c r="BT51" s="109">
        <v>4897685868</v>
      </c>
      <c r="BU51" s="106" t="s">
        <v>438</v>
      </c>
      <c r="BV51" s="109">
        <v>2536</v>
      </c>
      <c r="BW51" s="109">
        <v>416119284</v>
      </c>
      <c r="BX51" s="109">
        <v>290927</v>
      </c>
      <c r="BY51" s="106">
        <v>625</v>
      </c>
      <c r="BZ51" s="109">
        <v>121415688</v>
      </c>
      <c r="CA51" s="106" t="s">
        <v>438</v>
      </c>
      <c r="CB51" s="106" t="s">
        <v>438</v>
      </c>
      <c r="CC51" s="109">
        <v>537534972</v>
      </c>
      <c r="CD51" s="106" t="s">
        <v>438</v>
      </c>
      <c r="CE51" s="109">
        <v>5795</v>
      </c>
      <c r="CF51" s="109">
        <v>2559253082</v>
      </c>
      <c r="CG51" s="109">
        <v>2268983</v>
      </c>
      <c r="CH51" s="109">
        <v>7753</v>
      </c>
      <c r="CI51" s="109">
        <v>1223818382</v>
      </c>
      <c r="CJ51" s="106" t="s">
        <v>438</v>
      </c>
      <c r="CK51" s="106" t="s">
        <v>438</v>
      </c>
      <c r="CL51" s="109">
        <v>3783071464</v>
      </c>
      <c r="CM51" s="106" t="s">
        <v>438</v>
      </c>
    </row>
    <row r="52" spans="1:91">
      <c r="A52" s="108" t="s">
        <v>483</v>
      </c>
      <c r="B52" s="109">
        <v>4470</v>
      </c>
      <c r="C52" s="109">
        <v>2142330028</v>
      </c>
      <c r="D52" s="109">
        <v>1399481</v>
      </c>
      <c r="E52" s="109">
        <v>6901</v>
      </c>
      <c r="F52" s="109">
        <v>869538948</v>
      </c>
      <c r="G52" s="106" t="s">
        <v>438</v>
      </c>
      <c r="H52" s="106" t="s">
        <v>438</v>
      </c>
      <c r="I52" s="109">
        <v>3011868976</v>
      </c>
      <c r="J52" s="106" t="s">
        <v>438</v>
      </c>
      <c r="K52" s="109">
        <v>3772</v>
      </c>
      <c r="L52" s="109">
        <v>1151021064</v>
      </c>
      <c r="M52" s="109">
        <v>756413</v>
      </c>
      <c r="N52" s="109">
        <v>4842</v>
      </c>
      <c r="O52" s="109">
        <v>418929511</v>
      </c>
      <c r="P52" s="106" t="s">
        <v>438</v>
      </c>
      <c r="Q52" s="106" t="s">
        <v>438</v>
      </c>
      <c r="R52" s="109">
        <v>1569950575</v>
      </c>
      <c r="S52" s="106" t="s">
        <v>438</v>
      </c>
      <c r="T52" s="109">
        <v>2918</v>
      </c>
      <c r="U52" s="109">
        <v>983808315</v>
      </c>
      <c r="V52" s="109">
        <v>667613</v>
      </c>
      <c r="W52" s="109">
        <v>4069</v>
      </c>
      <c r="X52" s="109">
        <v>352102925</v>
      </c>
      <c r="Y52" s="106" t="s">
        <v>438</v>
      </c>
      <c r="Z52" s="106" t="s">
        <v>438</v>
      </c>
      <c r="AA52" s="109">
        <v>1335911240</v>
      </c>
      <c r="AB52" s="106" t="s">
        <v>438</v>
      </c>
      <c r="AC52" s="106">
        <v>854</v>
      </c>
      <c r="AD52" s="109">
        <v>167212749</v>
      </c>
      <c r="AE52" s="109">
        <v>88800</v>
      </c>
      <c r="AF52" s="106">
        <v>208</v>
      </c>
      <c r="AG52" s="109">
        <v>44384181</v>
      </c>
      <c r="AH52" s="106" t="s">
        <v>438</v>
      </c>
      <c r="AI52" s="106" t="s">
        <v>438</v>
      </c>
      <c r="AJ52" s="109">
        <v>211596930</v>
      </c>
      <c r="AK52" s="106" t="s">
        <v>438</v>
      </c>
      <c r="AL52" s="106">
        <v>698</v>
      </c>
      <c r="AM52" s="109">
        <v>991308964</v>
      </c>
      <c r="AN52" s="109">
        <v>643068</v>
      </c>
      <c r="AO52" s="109">
        <v>2059</v>
      </c>
      <c r="AP52" s="109">
        <v>450609437</v>
      </c>
      <c r="AQ52" s="106" t="s">
        <v>438</v>
      </c>
      <c r="AR52" s="106" t="s">
        <v>438</v>
      </c>
      <c r="AS52" s="109">
        <v>1441918401</v>
      </c>
      <c r="AT52" s="106" t="s">
        <v>438</v>
      </c>
      <c r="AU52" s="109">
        <v>19325</v>
      </c>
      <c r="AV52" s="109">
        <v>6320809445</v>
      </c>
      <c r="AW52" s="109">
        <v>4911272</v>
      </c>
      <c r="AX52" s="109">
        <v>30303</v>
      </c>
      <c r="AY52" s="109">
        <v>2312090669</v>
      </c>
      <c r="AZ52" s="106" t="s">
        <v>438</v>
      </c>
      <c r="BA52" s="106" t="s">
        <v>438</v>
      </c>
      <c r="BB52" s="109">
        <v>8632900114</v>
      </c>
      <c r="BC52" s="106" t="s">
        <v>438</v>
      </c>
      <c r="BD52" s="109">
        <v>13662</v>
      </c>
      <c r="BE52" s="109">
        <v>3817884735</v>
      </c>
      <c r="BF52" s="109">
        <v>2617526</v>
      </c>
      <c r="BG52" s="109">
        <v>23444</v>
      </c>
      <c r="BH52" s="109">
        <v>1107253793</v>
      </c>
      <c r="BI52" s="106" t="s">
        <v>438</v>
      </c>
      <c r="BJ52" s="106" t="s">
        <v>438</v>
      </c>
      <c r="BK52" s="109">
        <v>4925138528</v>
      </c>
      <c r="BL52" s="106" t="s">
        <v>438</v>
      </c>
      <c r="BM52" s="109">
        <v>11112</v>
      </c>
      <c r="BN52" s="109">
        <v>3384098609</v>
      </c>
      <c r="BO52" s="109">
        <v>2350223</v>
      </c>
      <c r="BP52" s="109">
        <v>18298</v>
      </c>
      <c r="BQ52" s="109">
        <v>908958656</v>
      </c>
      <c r="BR52" s="106" t="s">
        <v>438</v>
      </c>
      <c r="BS52" s="106" t="s">
        <v>438</v>
      </c>
      <c r="BT52" s="109">
        <v>4293057265</v>
      </c>
      <c r="BU52" s="106" t="s">
        <v>438</v>
      </c>
      <c r="BV52" s="109">
        <v>2550</v>
      </c>
      <c r="BW52" s="109">
        <v>433786126</v>
      </c>
      <c r="BX52" s="109">
        <v>267303</v>
      </c>
      <c r="BY52" s="106">
        <v>465</v>
      </c>
      <c r="BZ52" s="109">
        <v>73372866</v>
      </c>
      <c r="CA52" s="106" t="s">
        <v>438</v>
      </c>
      <c r="CB52" s="106" t="s">
        <v>438</v>
      </c>
      <c r="CC52" s="109">
        <v>507158992</v>
      </c>
      <c r="CD52" s="106" t="s">
        <v>438</v>
      </c>
      <c r="CE52" s="109">
        <v>5663</v>
      </c>
      <c r="CF52" s="109">
        <v>2502924710</v>
      </c>
      <c r="CG52" s="109">
        <v>2293746</v>
      </c>
      <c r="CH52" s="109">
        <v>6859</v>
      </c>
      <c r="CI52" s="109">
        <v>1204836876</v>
      </c>
      <c r="CJ52" s="106" t="s">
        <v>438</v>
      </c>
      <c r="CK52" s="106" t="s">
        <v>438</v>
      </c>
      <c r="CL52" s="109">
        <v>3707761586</v>
      </c>
      <c r="CM52" s="106" t="s">
        <v>438</v>
      </c>
    </row>
    <row r="53" spans="1:91">
      <c r="A53" s="108" t="s">
        <v>484</v>
      </c>
      <c r="B53" s="109">
        <v>5279</v>
      </c>
      <c r="C53" s="109">
        <v>2329136513</v>
      </c>
      <c r="D53" s="109">
        <v>1561492</v>
      </c>
      <c r="E53" s="109">
        <v>7119</v>
      </c>
      <c r="F53" s="109">
        <v>841294144</v>
      </c>
      <c r="G53" s="106" t="s">
        <v>438</v>
      </c>
      <c r="H53" s="106" t="s">
        <v>438</v>
      </c>
      <c r="I53" s="109">
        <v>3170430657</v>
      </c>
      <c r="J53" s="106" t="s">
        <v>438</v>
      </c>
      <c r="K53" s="109">
        <v>4582</v>
      </c>
      <c r="L53" s="109">
        <v>1451666012</v>
      </c>
      <c r="M53" s="109">
        <v>962027</v>
      </c>
      <c r="N53" s="109">
        <v>5187</v>
      </c>
      <c r="O53" s="109">
        <v>459873475</v>
      </c>
      <c r="P53" s="106" t="s">
        <v>438</v>
      </c>
      <c r="Q53" s="106" t="s">
        <v>438</v>
      </c>
      <c r="R53" s="109">
        <v>1911539487</v>
      </c>
      <c r="S53" s="106" t="s">
        <v>438</v>
      </c>
      <c r="T53" s="109">
        <v>3604</v>
      </c>
      <c r="U53" s="109">
        <v>1256978811</v>
      </c>
      <c r="V53" s="109">
        <v>827744</v>
      </c>
      <c r="W53" s="109">
        <v>4413</v>
      </c>
      <c r="X53" s="109">
        <v>371617657</v>
      </c>
      <c r="Y53" s="106" t="s">
        <v>438</v>
      </c>
      <c r="Z53" s="106" t="s">
        <v>438</v>
      </c>
      <c r="AA53" s="109">
        <v>1628596468</v>
      </c>
      <c r="AB53" s="106" t="s">
        <v>438</v>
      </c>
      <c r="AC53" s="106">
        <v>978</v>
      </c>
      <c r="AD53" s="109">
        <v>194687201</v>
      </c>
      <c r="AE53" s="109">
        <v>134283</v>
      </c>
      <c r="AF53" s="106">
        <v>224</v>
      </c>
      <c r="AG53" s="109">
        <v>65269975</v>
      </c>
      <c r="AH53" s="106" t="s">
        <v>438</v>
      </c>
      <c r="AI53" s="106" t="s">
        <v>438</v>
      </c>
      <c r="AJ53" s="109">
        <v>259957176</v>
      </c>
      <c r="AK53" s="106" t="s">
        <v>438</v>
      </c>
      <c r="AL53" s="106">
        <v>697</v>
      </c>
      <c r="AM53" s="109">
        <v>877470501</v>
      </c>
      <c r="AN53" s="109">
        <v>599465</v>
      </c>
      <c r="AO53" s="109">
        <v>1932</v>
      </c>
      <c r="AP53" s="109">
        <v>381420669</v>
      </c>
      <c r="AQ53" s="106" t="s">
        <v>438</v>
      </c>
      <c r="AR53" s="106" t="s">
        <v>438</v>
      </c>
      <c r="AS53" s="109">
        <v>1258891170</v>
      </c>
      <c r="AT53" s="106" t="s">
        <v>438</v>
      </c>
      <c r="AU53" s="109">
        <v>22822</v>
      </c>
      <c r="AV53" s="109">
        <v>7648049656</v>
      </c>
      <c r="AW53" s="109">
        <v>5739136</v>
      </c>
      <c r="AX53" s="109">
        <v>31502</v>
      </c>
      <c r="AY53" s="109">
        <v>2441258515</v>
      </c>
      <c r="AZ53" s="106" t="s">
        <v>438</v>
      </c>
      <c r="BA53" s="106" t="s">
        <v>438</v>
      </c>
      <c r="BB53" s="109">
        <v>10089308171</v>
      </c>
      <c r="BC53" s="106" t="s">
        <v>438</v>
      </c>
      <c r="BD53" s="109">
        <v>16929</v>
      </c>
      <c r="BE53" s="109">
        <v>5003034154</v>
      </c>
      <c r="BF53" s="109">
        <v>3337692</v>
      </c>
      <c r="BG53" s="109">
        <v>24568</v>
      </c>
      <c r="BH53" s="109">
        <v>1174259995</v>
      </c>
      <c r="BI53" s="106" t="s">
        <v>438</v>
      </c>
      <c r="BJ53" s="106" t="s">
        <v>438</v>
      </c>
      <c r="BK53" s="109">
        <v>6177294149</v>
      </c>
      <c r="BL53" s="106" t="s">
        <v>438</v>
      </c>
      <c r="BM53" s="109">
        <v>13733</v>
      </c>
      <c r="BN53" s="109">
        <v>4424754873</v>
      </c>
      <c r="BO53" s="109">
        <v>2957429</v>
      </c>
      <c r="BP53" s="109">
        <v>19330</v>
      </c>
      <c r="BQ53" s="109">
        <v>953088397</v>
      </c>
      <c r="BR53" s="106" t="s">
        <v>438</v>
      </c>
      <c r="BS53" s="106" t="s">
        <v>438</v>
      </c>
      <c r="BT53" s="109">
        <v>5377843270</v>
      </c>
      <c r="BU53" s="106" t="s">
        <v>438</v>
      </c>
      <c r="BV53" s="109">
        <v>3196</v>
      </c>
      <c r="BW53" s="109">
        <v>578279281</v>
      </c>
      <c r="BX53" s="109">
        <v>380263</v>
      </c>
      <c r="BY53" s="106">
        <v>458</v>
      </c>
      <c r="BZ53" s="109">
        <v>89466734</v>
      </c>
      <c r="CA53" s="106" t="s">
        <v>438</v>
      </c>
      <c r="CB53" s="106" t="s">
        <v>438</v>
      </c>
      <c r="CC53" s="109">
        <v>667746015</v>
      </c>
      <c r="CD53" s="106" t="s">
        <v>438</v>
      </c>
      <c r="CE53" s="109">
        <v>5893</v>
      </c>
      <c r="CF53" s="109">
        <v>2645015502</v>
      </c>
      <c r="CG53" s="109">
        <v>2401444</v>
      </c>
      <c r="CH53" s="109">
        <v>6934</v>
      </c>
      <c r="CI53" s="109">
        <v>1266998520</v>
      </c>
      <c r="CJ53" s="106" t="s">
        <v>438</v>
      </c>
      <c r="CK53" s="106" t="s">
        <v>438</v>
      </c>
      <c r="CL53" s="109">
        <v>3912014022</v>
      </c>
      <c r="CM53" s="106" t="s">
        <v>438</v>
      </c>
    </row>
    <row r="54" spans="1:91">
      <c r="A54" s="108" t="s">
        <v>485</v>
      </c>
      <c r="B54" s="109">
        <v>6969</v>
      </c>
      <c r="C54" s="109">
        <v>2912721065</v>
      </c>
      <c r="D54" s="109">
        <v>1935222</v>
      </c>
      <c r="E54" s="109">
        <v>7318</v>
      </c>
      <c r="F54" s="109">
        <v>983833232</v>
      </c>
      <c r="G54" s="106" t="s">
        <v>438</v>
      </c>
      <c r="H54" s="106" t="s">
        <v>438</v>
      </c>
      <c r="I54" s="109">
        <v>3896554297</v>
      </c>
      <c r="J54" s="106" t="s">
        <v>438</v>
      </c>
      <c r="K54" s="109">
        <v>6310</v>
      </c>
      <c r="L54" s="109">
        <v>1982935563</v>
      </c>
      <c r="M54" s="109">
        <v>1244881</v>
      </c>
      <c r="N54" s="109">
        <v>5552</v>
      </c>
      <c r="O54" s="109">
        <v>521318429</v>
      </c>
      <c r="P54" s="106" t="s">
        <v>438</v>
      </c>
      <c r="Q54" s="106" t="s">
        <v>438</v>
      </c>
      <c r="R54" s="109">
        <v>2504253992</v>
      </c>
      <c r="S54" s="106" t="s">
        <v>438</v>
      </c>
      <c r="T54" s="109">
        <v>4318</v>
      </c>
      <c r="U54" s="109">
        <v>1608212535</v>
      </c>
      <c r="V54" s="109">
        <v>1020621</v>
      </c>
      <c r="W54" s="109">
        <v>4768</v>
      </c>
      <c r="X54" s="109">
        <v>437026700</v>
      </c>
      <c r="Y54" s="106" t="s">
        <v>438</v>
      </c>
      <c r="Z54" s="106" t="s">
        <v>438</v>
      </c>
      <c r="AA54" s="109">
        <v>2045239235</v>
      </c>
      <c r="AB54" s="106" t="s">
        <v>438</v>
      </c>
      <c r="AC54" s="109">
        <v>1992</v>
      </c>
      <c r="AD54" s="109">
        <v>374723028</v>
      </c>
      <c r="AE54" s="109">
        <v>224260</v>
      </c>
      <c r="AF54" s="106">
        <v>236</v>
      </c>
      <c r="AG54" s="109">
        <v>61659470</v>
      </c>
      <c r="AH54" s="106" t="s">
        <v>438</v>
      </c>
      <c r="AI54" s="106" t="s">
        <v>438</v>
      </c>
      <c r="AJ54" s="109">
        <v>436382498</v>
      </c>
      <c r="AK54" s="106" t="s">
        <v>438</v>
      </c>
      <c r="AL54" s="106">
        <v>659</v>
      </c>
      <c r="AM54" s="109">
        <v>929785502</v>
      </c>
      <c r="AN54" s="109">
        <v>690341</v>
      </c>
      <c r="AO54" s="109">
        <v>1766</v>
      </c>
      <c r="AP54" s="109">
        <v>462514803</v>
      </c>
      <c r="AQ54" s="106" t="s">
        <v>438</v>
      </c>
      <c r="AR54" s="106" t="s">
        <v>438</v>
      </c>
      <c r="AS54" s="109">
        <v>1392300305</v>
      </c>
      <c r="AT54" s="106" t="s">
        <v>438</v>
      </c>
      <c r="AU54" s="109">
        <v>27012</v>
      </c>
      <c r="AV54" s="109">
        <v>9406435880</v>
      </c>
      <c r="AW54" s="109">
        <v>6871838</v>
      </c>
      <c r="AX54" s="109">
        <v>31790</v>
      </c>
      <c r="AY54" s="109">
        <v>2699613665</v>
      </c>
      <c r="AZ54" s="106" t="s">
        <v>438</v>
      </c>
      <c r="BA54" s="106" t="s">
        <v>438</v>
      </c>
      <c r="BB54" s="109">
        <v>12106049545</v>
      </c>
      <c r="BC54" s="106" t="s">
        <v>438</v>
      </c>
      <c r="BD54" s="109">
        <v>21290</v>
      </c>
      <c r="BE54" s="109">
        <v>6499425746</v>
      </c>
      <c r="BF54" s="109">
        <v>4085561</v>
      </c>
      <c r="BG54" s="109">
        <v>25642</v>
      </c>
      <c r="BH54" s="109">
        <v>1405483625</v>
      </c>
      <c r="BI54" s="106" t="s">
        <v>438</v>
      </c>
      <c r="BJ54" s="106" t="s">
        <v>438</v>
      </c>
      <c r="BK54" s="109">
        <v>7904909371</v>
      </c>
      <c r="BL54" s="106" t="s">
        <v>438</v>
      </c>
      <c r="BM54" s="109">
        <v>16721</v>
      </c>
      <c r="BN54" s="109">
        <v>5646336469</v>
      </c>
      <c r="BO54" s="109">
        <v>3576786</v>
      </c>
      <c r="BP54" s="109">
        <v>20390</v>
      </c>
      <c r="BQ54" s="109">
        <v>1159714167</v>
      </c>
      <c r="BR54" s="106" t="s">
        <v>438</v>
      </c>
      <c r="BS54" s="106" t="s">
        <v>438</v>
      </c>
      <c r="BT54" s="109">
        <v>6806050636</v>
      </c>
      <c r="BU54" s="106" t="s">
        <v>438</v>
      </c>
      <c r="BV54" s="109">
        <v>4569</v>
      </c>
      <c r="BW54" s="109">
        <v>853089277</v>
      </c>
      <c r="BX54" s="109">
        <v>508775</v>
      </c>
      <c r="BY54" s="106">
        <v>611</v>
      </c>
      <c r="BZ54" s="109">
        <v>114725414</v>
      </c>
      <c r="CA54" s="106" t="s">
        <v>438</v>
      </c>
      <c r="CB54" s="106" t="s">
        <v>438</v>
      </c>
      <c r="CC54" s="109">
        <v>967814691</v>
      </c>
      <c r="CD54" s="106" t="s">
        <v>438</v>
      </c>
      <c r="CE54" s="109">
        <v>5722</v>
      </c>
      <c r="CF54" s="109">
        <v>2907010134</v>
      </c>
      <c r="CG54" s="109">
        <v>2786277</v>
      </c>
      <c r="CH54" s="109">
        <v>6148</v>
      </c>
      <c r="CI54" s="109">
        <v>1294130040</v>
      </c>
      <c r="CJ54" s="106" t="s">
        <v>438</v>
      </c>
      <c r="CK54" s="106" t="s">
        <v>438</v>
      </c>
      <c r="CL54" s="109">
        <v>4201140174</v>
      </c>
      <c r="CM54" s="106" t="s">
        <v>438</v>
      </c>
    </row>
    <row r="55" spans="1:91">
      <c r="A55" s="108" t="s">
        <v>486</v>
      </c>
      <c r="B55" s="109">
        <v>8350</v>
      </c>
      <c r="C55" s="109">
        <v>3684674073</v>
      </c>
      <c r="D55" s="109">
        <v>2262721</v>
      </c>
      <c r="E55" s="109">
        <v>7868</v>
      </c>
      <c r="F55" s="109">
        <v>1064694874</v>
      </c>
      <c r="G55" s="106" t="s">
        <v>438</v>
      </c>
      <c r="H55" s="106" t="s">
        <v>438</v>
      </c>
      <c r="I55" s="109">
        <v>4749368947</v>
      </c>
      <c r="J55" s="106" t="s">
        <v>438</v>
      </c>
      <c r="K55" s="109">
        <v>7632</v>
      </c>
      <c r="L55" s="109">
        <v>2530143183</v>
      </c>
      <c r="M55" s="109">
        <v>1460403</v>
      </c>
      <c r="N55" s="109">
        <v>6094</v>
      </c>
      <c r="O55" s="109">
        <v>671281082</v>
      </c>
      <c r="P55" s="106" t="s">
        <v>438</v>
      </c>
      <c r="Q55" s="106" t="s">
        <v>438</v>
      </c>
      <c r="R55" s="109">
        <v>3201424265</v>
      </c>
      <c r="S55" s="106" t="s">
        <v>438</v>
      </c>
      <c r="T55" s="109">
        <v>4699</v>
      </c>
      <c r="U55" s="109">
        <v>1866559776</v>
      </c>
      <c r="V55" s="109">
        <v>1115112</v>
      </c>
      <c r="W55" s="109">
        <v>5280</v>
      </c>
      <c r="X55" s="109">
        <v>536794655</v>
      </c>
      <c r="Y55" s="106" t="s">
        <v>438</v>
      </c>
      <c r="Z55" s="106" t="s">
        <v>438</v>
      </c>
      <c r="AA55" s="109">
        <v>2403354431</v>
      </c>
      <c r="AB55" s="106" t="s">
        <v>438</v>
      </c>
      <c r="AC55" s="109">
        <v>2933</v>
      </c>
      <c r="AD55" s="109">
        <v>663583407</v>
      </c>
      <c r="AE55" s="109">
        <v>345291</v>
      </c>
      <c r="AF55" s="106">
        <v>237</v>
      </c>
      <c r="AG55" s="109">
        <v>107999254</v>
      </c>
      <c r="AH55" s="106" t="s">
        <v>438</v>
      </c>
      <c r="AI55" s="106" t="s">
        <v>438</v>
      </c>
      <c r="AJ55" s="109">
        <v>771582661</v>
      </c>
      <c r="AK55" s="106" t="s">
        <v>438</v>
      </c>
      <c r="AL55" s="106">
        <v>718</v>
      </c>
      <c r="AM55" s="109">
        <v>1154530890</v>
      </c>
      <c r="AN55" s="109">
        <v>802318</v>
      </c>
      <c r="AO55" s="109">
        <v>1774</v>
      </c>
      <c r="AP55" s="109">
        <v>393413792</v>
      </c>
      <c r="AQ55" s="106" t="s">
        <v>438</v>
      </c>
      <c r="AR55" s="106" t="s">
        <v>438</v>
      </c>
      <c r="AS55" s="109">
        <v>1547944682</v>
      </c>
      <c r="AT55" s="106" t="s">
        <v>438</v>
      </c>
      <c r="AU55" s="109">
        <v>31091</v>
      </c>
      <c r="AV55" s="109">
        <v>11572578710</v>
      </c>
      <c r="AW55" s="109">
        <v>7797602</v>
      </c>
      <c r="AX55" s="109">
        <v>32778</v>
      </c>
      <c r="AY55" s="109">
        <v>3057835007</v>
      </c>
      <c r="AZ55" s="106" t="s">
        <v>438</v>
      </c>
      <c r="BA55" s="106" t="s">
        <v>438</v>
      </c>
      <c r="BB55" s="109">
        <v>14630413717</v>
      </c>
      <c r="BC55" s="106" t="s">
        <v>438</v>
      </c>
      <c r="BD55" s="109">
        <v>24717</v>
      </c>
      <c r="BE55" s="109">
        <v>7848520038</v>
      </c>
      <c r="BF55" s="109">
        <v>4623823</v>
      </c>
      <c r="BG55" s="109">
        <v>26635</v>
      </c>
      <c r="BH55" s="109">
        <v>1676771270</v>
      </c>
      <c r="BI55" s="106" t="s">
        <v>438</v>
      </c>
      <c r="BJ55" s="106" t="s">
        <v>438</v>
      </c>
      <c r="BK55" s="109">
        <v>9525291308</v>
      </c>
      <c r="BL55" s="106" t="s">
        <v>438</v>
      </c>
      <c r="BM55" s="109">
        <v>18359</v>
      </c>
      <c r="BN55" s="109">
        <v>6559506839</v>
      </c>
      <c r="BO55" s="109">
        <v>3911687</v>
      </c>
      <c r="BP55" s="109">
        <v>21531</v>
      </c>
      <c r="BQ55" s="109">
        <v>1387069399</v>
      </c>
      <c r="BR55" s="106" t="s">
        <v>438</v>
      </c>
      <c r="BS55" s="106" t="s">
        <v>438</v>
      </c>
      <c r="BT55" s="109">
        <v>7946576238</v>
      </c>
      <c r="BU55" s="106" t="s">
        <v>438</v>
      </c>
      <c r="BV55" s="109">
        <v>6358</v>
      </c>
      <c r="BW55" s="109">
        <v>1289013199</v>
      </c>
      <c r="BX55" s="109">
        <v>712136</v>
      </c>
      <c r="BY55" s="106">
        <v>549</v>
      </c>
      <c r="BZ55" s="109">
        <v>145329709</v>
      </c>
      <c r="CA55" s="106" t="s">
        <v>438</v>
      </c>
      <c r="CB55" s="106" t="s">
        <v>438</v>
      </c>
      <c r="CC55" s="109">
        <v>1434342908</v>
      </c>
      <c r="CD55" s="106" t="s">
        <v>438</v>
      </c>
      <c r="CE55" s="109">
        <v>6374</v>
      </c>
      <c r="CF55" s="109">
        <v>3724058672</v>
      </c>
      <c r="CG55" s="109">
        <v>3173779</v>
      </c>
      <c r="CH55" s="109">
        <v>6143</v>
      </c>
      <c r="CI55" s="109">
        <v>1381063737</v>
      </c>
      <c r="CJ55" s="106" t="s">
        <v>438</v>
      </c>
      <c r="CK55" s="106" t="s">
        <v>438</v>
      </c>
      <c r="CL55" s="109">
        <v>5105122409</v>
      </c>
      <c r="CM55" s="106" t="s">
        <v>438</v>
      </c>
    </row>
    <row r="56" spans="1:91">
      <c r="A56" s="108" t="s">
        <v>487</v>
      </c>
      <c r="B56" s="109">
        <v>9970</v>
      </c>
      <c r="C56" s="109">
        <v>4348330893</v>
      </c>
      <c r="D56" s="109">
        <v>2506148</v>
      </c>
      <c r="E56" s="109">
        <v>7838</v>
      </c>
      <c r="F56" s="109">
        <v>1248242375</v>
      </c>
      <c r="G56" s="106" t="s">
        <v>438</v>
      </c>
      <c r="H56" s="106" t="s">
        <v>438</v>
      </c>
      <c r="I56" s="109">
        <v>5596573268</v>
      </c>
      <c r="J56" s="106" t="s">
        <v>438</v>
      </c>
      <c r="K56" s="109">
        <v>9243</v>
      </c>
      <c r="L56" s="109">
        <v>3072693814</v>
      </c>
      <c r="M56" s="109">
        <v>1663963</v>
      </c>
      <c r="N56" s="109">
        <v>6169</v>
      </c>
      <c r="O56" s="109">
        <v>705750181</v>
      </c>
      <c r="P56" s="106" t="s">
        <v>438</v>
      </c>
      <c r="Q56" s="106" t="s">
        <v>438</v>
      </c>
      <c r="R56" s="109">
        <v>3778443995</v>
      </c>
      <c r="S56" s="106" t="s">
        <v>438</v>
      </c>
      <c r="T56" s="109">
        <v>5177</v>
      </c>
      <c r="U56" s="109">
        <v>2117902588</v>
      </c>
      <c r="V56" s="109">
        <v>1199099</v>
      </c>
      <c r="W56" s="109">
        <v>4926</v>
      </c>
      <c r="X56" s="109">
        <v>567120023</v>
      </c>
      <c r="Y56" s="106" t="s">
        <v>438</v>
      </c>
      <c r="Z56" s="106" t="s">
        <v>438</v>
      </c>
      <c r="AA56" s="109">
        <v>2685022611</v>
      </c>
      <c r="AB56" s="106" t="s">
        <v>438</v>
      </c>
      <c r="AC56" s="109">
        <v>4066</v>
      </c>
      <c r="AD56" s="109">
        <v>954791226</v>
      </c>
      <c r="AE56" s="109">
        <v>464864</v>
      </c>
      <c r="AF56" s="106">
        <v>316</v>
      </c>
      <c r="AG56" s="109">
        <v>90346923</v>
      </c>
      <c r="AH56" s="106" t="s">
        <v>438</v>
      </c>
      <c r="AI56" s="106" t="s">
        <v>438</v>
      </c>
      <c r="AJ56" s="109">
        <v>1045138149</v>
      </c>
      <c r="AK56" s="106" t="s">
        <v>438</v>
      </c>
      <c r="AL56" s="106">
        <v>727</v>
      </c>
      <c r="AM56" s="109">
        <v>1275637079</v>
      </c>
      <c r="AN56" s="109">
        <v>842185</v>
      </c>
      <c r="AO56" s="109">
        <v>1669</v>
      </c>
      <c r="AP56" s="109">
        <v>542492194</v>
      </c>
      <c r="AQ56" s="106" t="s">
        <v>438</v>
      </c>
      <c r="AR56" s="106" t="s">
        <v>438</v>
      </c>
      <c r="AS56" s="109">
        <v>1818129273</v>
      </c>
      <c r="AT56" s="106" t="s">
        <v>438</v>
      </c>
      <c r="AU56" s="109">
        <v>32902</v>
      </c>
      <c r="AV56" s="109">
        <v>13200615548</v>
      </c>
      <c r="AW56" s="109">
        <v>8209294</v>
      </c>
      <c r="AX56" s="109">
        <v>31325</v>
      </c>
      <c r="AY56" s="109">
        <v>3241527222</v>
      </c>
      <c r="AZ56" s="106" t="s">
        <v>438</v>
      </c>
      <c r="BA56" s="106" t="s">
        <v>438</v>
      </c>
      <c r="BB56" s="109">
        <v>16442142770</v>
      </c>
      <c r="BC56" s="106" t="s">
        <v>438</v>
      </c>
      <c r="BD56" s="109">
        <v>27132</v>
      </c>
      <c r="BE56" s="109">
        <v>8796498776</v>
      </c>
      <c r="BF56" s="109">
        <v>4855202</v>
      </c>
      <c r="BG56" s="109">
        <v>25613</v>
      </c>
      <c r="BH56" s="109">
        <v>1726647280</v>
      </c>
      <c r="BI56" s="106" t="s">
        <v>438</v>
      </c>
      <c r="BJ56" s="106" t="s">
        <v>438</v>
      </c>
      <c r="BK56" s="109">
        <v>10523146056</v>
      </c>
      <c r="BL56" s="106" t="s">
        <v>438</v>
      </c>
      <c r="BM56" s="109">
        <v>19038</v>
      </c>
      <c r="BN56" s="109">
        <v>7035934976</v>
      </c>
      <c r="BO56" s="109">
        <v>3971669</v>
      </c>
      <c r="BP56" s="109">
        <v>19677</v>
      </c>
      <c r="BQ56" s="109">
        <v>1390872666</v>
      </c>
      <c r="BR56" s="106" t="s">
        <v>438</v>
      </c>
      <c r="BS56" s="106" t="s">
        <v>438</v>
      </c>
      <c r="BT56" s="109">
        <v>8426807642</v>
      </c>
      <c r="BU56" s="106" t="s">
        <v>438</v>
      </c>
      <c r="BV56" s="109">
        <v>8094</v>
      </c>
      <c r="BW56" s="109">
        <v>1760563800</v>
      </c>
      <c r="BX56" s="109">
        <v>883533</v>
      </c>
      <c r="BY56" s="106">
        <v>746</v>
      </c>
      <c r="BZ56" s="109">
        <v>152660888</v>
      </c>
      <c r="CA56" s="106" t="s">
        <v>438</v>
      </c>
      <c r="CB56" s="106" t="s">
        <v>438</v>
      </c>
      <c r="CC56" s="109">
        <v>1913224688</v>
      </c>
      <c r="CD56" s="106" t="s">
        <v>438</v>
      </c>
      <c r="CE56" s="109">
        <v>5770</v>
      </c>
      <c r="CF56" s="109">
        <v>4404116772</v>
      </c>
      <c r="CG56" s="109">
        <v>3354092</v>
      </c>
      <c r="CH56" s="109">
        <v>5712</v>
      </c>
      <c r="CI56" s="109">
        <v>1514879942</v>
      </c>
      <c r="CJ56" s="106" t="s">
        <v>438</v>
      </c>
      <c r="CK56" s="106" t="s">
        <v>438</v>
      </c>
      <c r="CL56" s="109">
        <v>5918996714</v>
      </c>
      <c r="CM56" s="106" t="s">
        <v>438</v>
      </c>
    </row>
    <row r="57" spans="1:91">
      <c r="A57" s="108" t="s">
        <v>488</v>
      </c>
      <c r="B57" s="109">
        <v>10821</v>
      </c>
      <c r="C57" s="109">
        <v>5622316567</v>
      </c>
      <c r="D57" s="109">
        <v>2497026</v>
      </c>
      <c r="E57" s="109">
        <v>7782</v>
      </c>
      <c r="F57" s="109">
        <v>1219997950</v>
      </c>
      <c r="G57" s="106" t="s">
        <v>438</v>
      </c>
      <c r="H57" s="106" t="s">
        <v>438</v>
      </c>
      <c r="I57" s="109">
        <v>6842314517</v>
      </c>
      <c r="J57" s="106" t="s">
        <v>438</v>
      </c>
      <c r="K57" s="109">
        <v>10026</v>
      </c>
      <c r="L57" s="109">
        <v>4004911901</v>
      </c>
      <c r="M57" s="109">
        <v>1859864</v>
      </c>
      <c r="N57" s="109">
        <v>6418</v>
      </c>
      <c r="O57" s="109">
        <v>784537366</v>
      </c>
      <c r="P57" s="106" t="s">
        <v>438</v>
      </c>
      <c r="Q57" s="106" t="s">
        <v>438</v>
      </c>
      <c r="R57" s="109">
        <v>4789449267</v>
      </c>
      <c r="S57" s="106" t="s">
        <v>438</v>
      </c>
      <c r="T57" s="109">
        <v>5660</v>
      </c>
      <c r="U57" s="109">
        <v>2524056421</v>
      </c>
      <c r="V57" s="109">
        <v>1330929</v>
      </c>
      <c r="W57" s="109">
        <v>5146</v>
      </c>
      <c r="X57" s="109">
        <v>641657604</v>
      </c>
      <c r="Y57" s="106" t="s">
        <v>438</v>
      </c>
      <c r="Z57" s="106" t="s">
        <v>438</v>
      </c>
      <c r="AA57" s="109">
        <v>3165714025</v>
      </c>
      <c r="AB57" s="106" t="s">
        <v>438</v>
      </c>
      <c r="AC57" s="109">
        <v>4366</v>
      </c>
      <c r="AD57" s="109">
        <v>1480855480</v>
      </c>
      <c r="AE57" s="109">
        <v>528936</v>
      </c>
      <c r="AF57" s="106">
        <v>359</v>
      </c>
      <c r="AG57" s="109">
        <v>94306651</v>
      </c>
      <c r="AH57" s="106" t="s">
        <v>438</v>
      </c>
      <c r="AI57" s="106" t="s">
        <v>438</v>
      </c>
      <c r="AJ57" s="109">
        <v>1575162131</v>
      </c>
      <c r="AK57" s="106" t="s">
        <v>438</v>
      </c>
      <c r="AL57" s="106">
        <v>795</v>
      </c>
      <c r="AM57" s="109">
        <v>1617404666</v>
      </c>
      <c r="AN57" s="109">
        <v>637162</v>
      </c>
      <c r="AO57" s="109">
        <v>1364</v>
      </c>
      <c r="AP57" s="109">
        <v>435460584</v>
      </c>
      <c r="AQ57" s="106" t="s">
        <v>438</v>
      </c>
      <c r="AR57" s="106" t="s">
        <v>438</v>
      </c>
      <c r="AS57" s="109">
        <v>2052865250</v>
      </c>
      <c r="AT57" s="106" t="s">
        <v>438</v>
      </c>
      <c r="AU57" s="109">
        <v>35595</v>
      </c>
      <c r="AV57" s="109">
        <v>15225146448</v>
      </c>
      <c r="AW57" s="109">
        <v>8138658</v>
      </c>
      <c r="AX57" s="109">
        <v>31803</v>
      </c>
      <c r="AY57" s="109">
        <v>3326552807</v>
      </c>
      <c r="AZ57" s="106" t="s">
        <v>438</v>
      </c>
      <c r="BA57" s="106" t="s">
        <v>438</v>
      </c>
      <c r="BB57" s="109">
        <v>18551699255</v>
      </c>
      <c r="BC57" s="106" t="s">
        <v>438</v>
      </c>
      <c r="BD57" s="109">
        <v>30066</v>
      </c>
      <c r="BE57" s="109">
        <v>10647571110</v>
      </c>
      <c r="BF57" s="109">
        <v>5470390</v>
      </c>
      <c r="BG57" s="109">
        <v>26472</v>
      </c>
      <c r="BH57" s="109">
        <v>1884683102</v>
      </c>
      <c r="BI57" s="106" t="s">
        <v>438</v>
      </c>
      <c r="BJ57" s="106" t="s">
        <v>438</v>
      </c>
      <c r="BK57" s="109">
        <v>12532254212</v>
      </c>
      <c r="BL57" s="106" t="s">
        <v>438</v>
      </c>
      <c r="BM57" s="109">
        <v>21310</v>
      </c>
      <c r="BN57" s="109">
        <v>8243801246</v>
      </c>
      <c r="BO57" s="109">
        <v>4446668</v>
      </c>
      <c r="BP57" s="109">
        <v>20069</v>
      </c>
      <c r="BQ57" s="109">
        <v>1482801336</v>
      </c>
      <c r="BR57" s="106" t="s">
        <v>438</v>
      </c>
      <c r="BS57" s="106" t="s">
        <v>438</v>
      </c>
      <c r="BT57" s="109">
        <v>9726602582</v>
      </c>
      <c r="BU57" s="106" t="s">
        <v>438</v>
      </c>
      <c r="BV57" s="109">
        <v>8756</v>
      </c>
      <c r="BW57" s="109">
        <v>2403769864</v>
      </c>
      <c r="BX57" s="109">
        <v>1023722</v>
      </c>
      <c r="BY57" s="106">
        <v>907</v>
      </c>
      <c r="BZ57" s="109">
        <v>195127726</v>
      </c>
      <c r="CA57" s="106" t="s">
        <v>438</v>
      </c>
      <c r="CB57" s="106" t="s">
        <v>438</v>
      </c>
      <c r="CC57" s="109">
        <v>2598897590</v>
      </c>
      <c r="CD57" s="106" t="s">
        <v>438</v>
      </c>
      <c r="CE57" s="109">
        <v>5529</v>
      </c>
      <c r="CF57" s="109">
        <v>4577575338</v>
      </c>
      <c r="CG57" s="109">
        <v>2668268</v>
      </c>
      <c r="CH57" s="109">
        <v>5331</v>
      </c>
      <c r="CI57" s="109">
        <v>1441869705</v>
      </c>
      <c r="CJ57" s="106" t="s">
        <v>438</v>
      </c>
      <c r="CK57" s="106" t="s">
        <v>438</v>
      </c>
      <c r="CL57" s="109">
        <v>6019445043</v>
      </c>
      <c r="CM57" s="106" t="s">
        <v>438</v>
      </c>
    </row>
    <row r="58" spans="1:91">
      <c r="A58" s="108" t="s">
        <v>489</v>
      </c>
      <c r="B58" s="109">
        <v>11627</v>
      </c>
      <c r="C58" s="109">
        <v>6218496632</v>
      </c>
      <c r="D58" s="109">
        <v>2650718</v>
      </c>
      <c r="E58" s="109">
        <v>7245</v>
      </c>
      <c r="F58" s="109">
        <v>1441312251</v>
      </c>
      <c r="G58" s="106" t="s">
        <v>438</v>
      </c>
      <c r="H58" s="106" t="s">
        <v>438</v>
      </c>
      <c r="I58" s="109">
        <v>7659808883</v>
      </c>
      <c r="J58" s="106" t="s">
        <v>438</v>
      </c>
      <c r="K58" s="109">
        <v>10867</v>
      </c>
      <c r="L58" s="109">
        <v>4215480740</v>
      </c>
      <c r="M58" s="109">
        <v>1849426</v>
      </c>
      <c r="N58" s="109">
        <v>5884</v>
      </c>
      <c r="O58" s="109">
        <v>810169882</v>
      </c>
      <c r="P58" s="106" t="s">
        <v>438</v>
      </c>
      <c r="Q58" s="106" t="s">
        <v>438</v>
      </c>
      <c r="R58" s="109">
        <v>5025650622</v>
      </c>
      <c r="S58" s="106" t="s">
        <v>438</v>
      </c>
      <c r="T58" s="109">
        <v>5318</v>
      </c>
      <c r="U58" s="109">
        <v>2492623775</v>
      </c>
      <c r="V58" s="109">
        <v>1221577</v>
      </c>
      <c r="W58" s="109">
        <v>4649</v>
      </c>
      <c r="X58" s="109">
        <v>585653432</v>
      </c>
      <c r="Y58" s="106" t="s">
        <v>438</v>
      </c>
      <c r="Z58" s="106" t="s">
        <v>438</v>
      </c>
      <c r="AA58" s="109">
        <v>3078277207</v>
      </c>
      <c r="AB58" s="106" t="s">
        <v>438</v>
      </c>
      <c r="AC58" s="109">
        <v>5549</v>
      </c>
      <c r="AD58" s="109">
        <v>1722856965</v>
      </c>
      <c r="AE58" s="109">
        <v>627849</v>
      </c>
      <c r="AF58" s="106">
        <v>420</v>
      </c>
      <c r="AG58" s="109">
        <v>178127283</v>
      </c>
      <c r="AH58" s="106" t="s">
        <v>438</v>
      </c>
      <c r="AI58" s="106" t="s">
        <v>438</v>
      </c>
      <c r="AJ58" s="109">
        <v>1900984248</v>
      </c>
      <c r="AK58" s="106" t="s">
        <v>438</v>
      </c>
      <c r="AL58" s="106">
        <v>760</v>
      </c>
      <c r="AM58" s="109">
        <v>2003015892</v>
      </c>
      <c r="AN58" s="109">
        <v>801292</v>
      </c>
      <c r="AO58" s="109">
        <v>1361</v>
      </c>
      <c r="AP58" s="109">
        <v>631142369</v>
      </c>
      <c r="AQ58" s="106" t="s">
        <v>438</v>
      </c>
      <c r="AR58" s="106" t="s">
        <v>438</v>
      </c>
      <c r="AS58" s="109">
        <v>2634158261</v>
      </c>
      <c r="AT58" s="106" t="s">
        <v>438</v>
      </c>
      <c r="AU58" s="109">
        <v>37150</v>
      </c>
      <c r="AV58" s="109">
        <v>16350162288</v>
      </c>
      <c r="AW58" s="109">
        <v>8344123</v>
      </c>
      <c r="AX58" s="109">
        <v>33590</v>
      </c>
      <c r="AY58" s="109">
        <v>3602823534</v>
      </c>
      <c r="AZ58" s="106" t="s">
        <v>438</v>
      </c>
      <c r="BA58" s="106" t="s">
        <v>438</v>
      </c>
      <c r="BB58" s="109">
        <v>19952985822</v>
      </c>
      <c r="BC58" s="106" t="s">
        <v>438</v>
      </c>
      <c r="BD58" s="109">
        <v>31087</v>
      </c>
      <c r="BE58" s="109">
        <v>11475317591</v>
      </c>
      <c r="BF58" s="109">
        <v>5493159</v>
      </c>
      <c r="BG58" s="109">
        <v>28339</v>
      </c>
      <c r="BH58" s="109">
        <v>1978525207</v>
      </c>
      <c r="BI58" s="106" t="s">
        <v>438</v>
      </c>
      <c r="BJ58" s="106" t="s">
        <v>438</v>
      </c>
      <c r="BK58" s="109">
        <v>13453842798</v>
      </c>
      <c r="BL58" s="106" t="s">
        <v>438</v>
      </c>
      <c r="BM58" s="109">
        <v>21022</v>
      </c>
      <c r="BN58" s="109">
        <v>8624270928</v>
      </c>
      <c r="BO58" s="109">
        <v>4355369</v>
      </c>
      <c r="BP58" s="109">
        <v>21854</v>
      </c>
      <c r="BQ58" s="109">
        <v>1472257555</v>
      </c>
      <c r="BR58" s="106" t="s">
        <v>438</v>
      </c>
      <c r="BS58" s="106" t="s">
        <v>438</v>
      </c>
      <c r="BT58" s="109">
        <v>10096528483</v>
      </c>
      <c r="BU58" s="106" t="s">
        <v>438</v>
      </c>
      <c r="BV58" s="109">
        <v>10065</v>
      </c>
      <c r="BW58" s="109">
        <v>2851046663</v>
      </c>
      <c r="BX58" s="109">
        <v>1137790</v>
      </c>
      <c r="BY58" s="106">
        <v>901</v>
      </c>
      <c r="BZ58" s="109">
        <v>283670072</v>
      </c>
      <c r="CA58" s="106" t="s">
        <v>438</v>
      </c>
      <c r="CB58" s="106" t="s">
        <v>438</v>
      </c>
      <c r="CC58" s="109">
        <v>3134716735</v>
      </c>
      <c r="CD58" s="106" t="s">
        <v>438</v>
      </c>
      <c r="CE58" s="109">
        <v>6063</v>
      </c>
      <c r="CF58" s="109">
        <v>4874844697</v>
      </c>
      <c r="CG58" s="109">
        <v>2850964</v>
      </c>
      <c r="CH58" s="109">
        <v>5251</v>
      </c>
      <c r="CI58" s="109">
        <v>1624298327</v>
      </c>
      <c r="CJ58" s="106" t="s">
        <v>438</v>
      </c>
      <c r="CK58" s="106" t="s">
        <v>438</v>
      </c>
      <c r="CL58" s="109">
        <v>6499143024</v>
      </c>
      <c r="CM58" s="106" t="s">
        <v>438</v>
      </c>
    </row>
    <row r="59" spans="1:91">
      <c r="A59" s="108" t="s">
        <v>490</v>
      </c>
      <c r="B59" s="109">
        <v>13766</v>
      </c>
      <c r="C59" s="109">
        <v>7097735818</v>
      </c>
      <c r="D59" s="109">
        <v>3270733</v>
      </c>
      <c r="E59" s="109">
        <v>7818</v>
      </c>
      <c r="F59" s="109">
        <v>1320003150</v>
      </c>
      <c r="G59" s="106" t="s">
        <v>438</v>
      </c>
      <c r="H59" s="106" t="s">
        <v>438</v>
      </c>
      <c r="I59" s="109">
        <v>8417738968</v>
      </c>
      <c r="J59" s="106" t="s">
        <v>438</v>
      </c>
      <c r="K59" s="109">
        <v>12862</v>
      </c>
      <c r="L59" s="109">
        <v>4844872953</v>
      </c>
      <c r="M59" s="109">
        <v>2130133</v>
      </c>
      <c r="N59" s="109">
        <v>6186</v>
      </c>
      <c r="O59" s="109">
        <v>786789186</v>
      </c>
      <c r="P59" s="106" t="s">
        <v>438</v>
      </c>
      <c r="Q59" s="106" t="s">
        <v>438</v>
      </c>
      <c r="R59" s="109">
        <v>5631662139</v>
      </c>
      <c r="S59" s="106" t="s">
        <v>438</v>
      </c>
      <c r="T59" s="109">
        <v>6398</v>
      </c>
      <c r="U59" s="109">
        <v>2933875123</v>
      </c>
      <c r="V59" s="109">
        <v>1383478</v>
      </c>
      <c r="W59" s="109">
        <v>5058</v>
      </c>
      <c r="X59" s="109">
        <v>622421974</v>
      </c>
      <c r="Y59" s="106" t="s">
        <v>438</v>
      </c>
      <c r="Z59" s="106" t="s">
        <v>438</v>
      </c>
      <c r="AA59" s="109">
        <v>3556297097</v>
      </c>
      <c r="AB59" s="106" t="s">
        <v>438</v>
      </c>
      <c r="AC59" s="109">
        <v>6464</v>
      </c>
      <c r="AD59" s="109">
        <v>1910997830</v>
      </c>
      <c r="AE59" s="109">
        <v>746655</v>
      </c>
      <c r="AF59" s="106">
        <v>380</v>
      </c>
      <c r="AG59" s="109">
        <v>115279251</v>
      </c>
      <c r="AH59" s="106" t="s">
        <v>438</v>
      </c>
      <c r="AI59" s="106" t="s">
        <v>438</v>
      </c>
      <c r="AJ59" s="109">
        <v>2026277081</v>
      </c>
      <c r="AK59" s="106" t="s">
        <v>438</v>
      </c>
      <c r="AL59" s="106">
        <v>904</v>
      </c>
      <c r="AM59" s="109">
        <v>2252862865</v>
      </c>
      <c r="AN59" s="109">
        <v>1140600</v>
      </c>
      <c r="AO59" s="109">
        <v>1632</v>
      </c>
      <c r="AP59" s="109">
        <v>533213964</v>
      </c>
      <c r="AQ59" s="106" t="s">
        <v>438</v>
      </c>
      <c r="AR59" s="106" t="s">
        <v>438</v>
      </c>
      <c r="AS59" s="109">
        <v>2786076829</v>
      </c>
      <c r="AT59" s="106" t="s">
        <v>438</v>
      </c>
      <c r="AU59" s="109">
        <v>39087</v>
      </c>
      <c r="AV59" s="109">
        <v>17609615312</v>
      </c>
      <c r="AW59" s="109">
        <v>9045668</v>
      </c>
      <c r="AX59" s="109">
        <v>33971</v>
      </c>
      <c r="AY59" s="109">
        <v>3650339760</v>
      </c>
      <c r="AZ59" s="106" t="s">
        <v>438</v>
      </c>
      <c r="BA59" s="106" t="s">
        <v>438</v>
      </c>
      <c r="BB59" s="109">
        <v>21259955072</v>
      </c>
      <c r="BC59" s="106" t="s">
        <v>438</v>
      </c>
      <c r="BD59" s="109">
        <v>32996</v>
      </c>
      <c r="BE59" s="109">
        <v>12181039385</v>
      </c>
      <c r="BF59" s="109">
        <v>5595152</v>
      </c>
      <c r="BG59" s="109">
        <v>28138</v>
      </c>
      <c r="BH59" s="109">
        <v>1993305151</v>
      </c>
      <c r="BI59" s="106" t="s">
        <v>438</v>
      </c>
      <c r="BJ59" s="106" t="s">
        <v>438</v>
      </c>
      <c r="BK59" s="109">
        <v>14174344536</v>
      </c>
      <c r="BL59" s="106" t="s">
        <v>438</v>
      </c>
      <c r="BM59" s="109">
        <v>21125</v>
      </c>
      <c r="BN59" s="109">
        <v>8965884033</v>
      </c>
      <c r="BO59" s="109">
        <v>4255131</v>
      </c>
      <c r="BP59" s="109">
        <v>22161</v>
      </c>
      <c r="BQ59" s="109">
        <v>1589263840</v>
      </c>
      <c r="BR59" s="106" t="s">
        <v>438</v>
      </c>
      <c r="BS59" s="106" t="s">
        <v>438</v>
      </c>
      <c r="BT59" s="109">
        <v>10555147873</v>
      </c>
      <c r="BU59" s="106" t="s">
        <v>438</v>
      </c>
      <c r="BV59" s="109">
        <v>11871</v>
      </c>
      <c r="BW59" s="109">
        <v>3215155352</v>
      </c>
      <c r="BX59" s="109">
        <v>1340021</v>
      </c>
      <c r="BY59" s="106">
        <v>878</v>
      </c>
      <c r="BZ59" s="109">
        <v>186569556</v>
      </c>
      <c r="CA59" s="106" t="s">
        <v>438</v>
      </c>
      <c r="CB59" s="106" t="s">
        <v>438</v>
      </c>
      <c r="CC59" s="109">
        <v>3401724908</v>
      </c>
      <c r="CD59" s="106" t="s">
        <v>438</v>
      </c>
      <c r="CE59" s="109">
        <v>6091</v>
      </c>
      <c r="CF59" s="109">
        <v>5428575927</v>
      </c>
      <c r="CG59" s="109">
        <v>3450516</v>
      </c>
      <c r="CH59" s="109">
        <v>5833</v>
      </c>
      <c r="CI59" s="109">
        <v>1657034609</v>
      </c>
      <c r="CJ59" s="106" t="s">
        <v>438</v>
      </c>
      <c r="CK59" s="106" t="s">
        <v>438</v>
      </c>
      <c r="CL59" s="109">
        <v>7085610536</v>
      </c>
      <c r="CM59" s="106" t="s">
        <v>438</v>
      </c>
    </row>
    <row r="60" spans="1:91">
      <c r="A60" s="108" t="s">
        <v>491</v>
      </c>
      <c r="B60" s="109">
        <v>16056</v>
      </c>
      <c r="C60" s="109">
        <v>7989162734</v>
      </c>
      <c r="D60" s="109">
        <v>3335893</v>
      </c>
      <c r="E60" s="109">
        <v>7769</v>
      </c>
      <c r="F60" s="109">
        <v>1473195217</v>
      </c>
      <c r="G60" s="106" t="s">
        <v>438</v>
      </c>
      <c r="H60" s="106" t="s">
        <v>438</v>
      </c>
      <c r="I60" s="109">
        <v>9462357951</v>
      </c>
      <c r="J60" s="106" t="s">
        <v>438</v>
      </c>
      <c r="K60" s="109">
        <v>15154</v>
      </c>
      <c r="L60" s="109">
        <v>5736962881</v>
      </c>
      <c r="M60" s="109">
        <v>2324290</v>
      </c>
      <c r="N60" s="109">
        <v>5901</v>
      </c>
      <c r="O60" s="109">
        <v>764549911</v>
      </c>
      <c r="P60" s="106" t="s">
        <v>438</v>
      </c>
      <c r="Q60" s="106" t="s">
        <v>438</v>
      </c>
      <c r="R60" s="109">
        <v>6501512792</v>
      </c>
      <c r="S60" s="106" t="s">
        <v>438</v>
      </c>
      <c r="T60" s="109">
        <v>6835</v>
      </c>
      <c r="U60" s="109">
        <v>3130196911</v>
      </c>
      <c r="V60" s="109">
        <v>1398120</v>
      </c>
      <c r="W60" s="109">
        <v>5168</v>
      </c>
      <c r="X60" s="109">
        <v>632732529</v>
      </c>
      <c r="Y60" s="106" t="s">
        <v>438</v>
      </c>
      <c r="Z60" s="106" t="s">
        <v>438</v>
      </c>
      <c r="AA60" s="109">
        <v>3762929440</v>
      </c>
      <c r="AB60" s="106" t="s">
        <v>438</v>
      </c>
      <c r="AC60" s="109">
        <v>8319</v>
      </c>
      <c r="AD60" s="109">
        <v>2606765970</v>
      </c>
      <c r="AE60" s="109">
        <v>926170</v>
      </c>
      <c r="AF60" s="106">
        <v>302</v>
      </c>
      <c r="AG60" s="109">
        <v>101020000</v>
      </c>
      <c r="AH60" s="106" t="s">
        <v>438</v>
      </c>
      <c r="AI60" s="106" t="s">
        <v>438</v>
      </c>
      <c r="AJ60" s="109">
        <v>2707785970</v>
      </c>
      <c r="AK60" s="106" t="s">
        <v>438</v>
      </c>
      <c r="AL60" s="106">
        <v>902</v>
      </c>
      <c r="AM60" s="109">
        <v>2252199853</v>
      </c>
      <c r="AN60" s="109">
        <v>1011603</v>
      </c>
      <c r="AO60" s="109">
        <v>1868</v>
      </c>
      <c r="AP60" s="109">
        <v>708645306</v>
      </c>
      <c r="AQ60" s="106" t="s">
        <v>438</v>
      </c>
      <c r="AR60" s="106" t="s">
        <v>438</v>
      </c>
      <c r="AS60" s="109">
        <v>2960845159</v>
      </c>
      <c r="AT60" s="106" t="s">
        <v>438</v>
      </c>
      <c r="AU60" s="109">
        <v>43763</v>
      </c>
      <c r="AV60" s="109">
        <v>19467520910</v>
      </c>
      <c r="AW60" s="109">
        <v>9310753</v>
      </c>
      <c r="AX60" s="109">
        <v>34224</v>
      </c>
      <c r="AY60" s="109">
        <v>3901604474</v>
      </c>
      <c r="AZ60" s="106" t="s">
        <v>438</v>
      </c>
      <c r="BA60" s="106" t="s">
        <v>438</v>
      </c>
      <c r="BB60" s="109">
        <v>23369125384</v>
      </c>
      <c r="BC60" s="106" t="s">
        <v>438</v>
      </c>
      <c r="BD60" s="109">
        <v>37627</v>
      </c>
      <c r="BE60" s="109">
        <v>13895976200</v>
      </c>
      <c r="BF60" s="109">
        <v>5946051</v>
      </c>
      <c r="BG60" s="109">
        <v>28267</v>
      </c>
      <c r="BH60" s="109">
        <v>2013051047</v>
      </c>
      <c r="BI60" s="106" t="s">
        <v>438</v>
      </c>
      <c r="BJ60" s="106" t="s">
        <v>438</v>
      </c>
      <c r="BK60" s="109">
        <v>15909027247</v>
      </c>
      <c r="BL60" s="106" t="s">
        <v>438</v>
      </c>
      <c r="BM60" s="109">
        <v>22269</v>
      </c>
      <c r="BN60" s="109">
        <v>9577658629</v>
      </c>
      <c r="BO60" s="109">
        <v>4320654</v>
      </c>
      <c r="BP60" s="109">
        <v>23443</v>
      </c>
      <c r="BQ60" s="109">
        <v>1634830479</v>
      </c>
      <c r="BR60" s="106" t="s">
        <v>438</v>
      </c>
      <c r="BS60" s="106" t="s">
        <v>438</v>
      </c>
      <c r="BT60" s="109">
        <v>11212489108</v>
      </c>
      <c r="BU60" s="106" t="s">
        <v>438</v>
      </c>
      <c r="BV60" s="109">
        <v>15358</v>
      </c>
      <c r="BW60" s="109">
        <v>4318317571</v>
      </c>
      <c r="BX60" s="109">
        <v>1625397</v>
      </c>
      <c r="BY60" s="106">
        <v>718</v>
      </c>
      <c r="BZ60" s="109">
        <v>192173775</v>
      </c>
      <c r="CA60" s="106" t="s">
        <v>438</v>
      </c>
      <c r="CB60" s="106" t="s">
        <v>438</v>
      </c>
      <c r="CC60" s="109">
        <v>4510491346</v>
      </c>
      <c r="CD60" s="106" t="s">
        <v>438</v>
      </c>
      <c r="CE60" s="109">
        <v>6136</v>
      </c>
      <c r="CF60" s="109">
        <v>5571544710</v>
      </c>
      <c r="CG60" s="109">
        <v>3364702</v>
      </c>
      <c r="CH60" s="109">
        <v>5957</v>
      </c>
      <c r="CI60" s="109">
        <v>1888553427</v>
      </c>
      <c r="CJ60" s="106" t="s">
        <v>438</v>
      </c>
      <c r="CK60" s="106" t="s">
        <v>438</v>
      </c>
      <c r="CL60" s="109">
        <v>7460098137</v>
      </c>
      <c r="CM60" s="106" t="s">
        <v>438</v>
      </c>
    </row>
    <row r="61" spans="1:91">
      <c r="A61" s="108" t="s">
        <v>492</v>
      </c>
      <c r="B61" s="109">
        <v>17519</v>
      </c>
      <c r="C61" s="109">
        <v>8063673350</v>
      </c>
      <c r="D61" s="109">
        <v>3160694</v>
      </c>
      <c r="E61" s="109">
        <v>6841</v>
      </c>
      <c r="F61" s="109">
        <v>1267207053</v>
      </c>
      <c r="G61" s="106" t="s">
        <v>438</v>
      </c>
      <c r="H61" s="106" t="s">
        <v>438</v>
      </c>
      <c r="I61" s="109">
        <v>9330880403</v>
      </c>
      <c r="J61" s="106" t="s">
        <v>438</v>
      </c>
      <c r="K61" s="109">
        <v>16656</v>
      </c>
      <c r="L61" s="109">
        <v>6040956566</v>
      </c>
      <c r="M61" s="109">
        <v>2472574</v>
      </c>
      <c r="N61" s="109">
        <v>5350</v>
      </c>
      <c r="O61" s="109">
        <v>670162348</v>
      </c>
      <c r="P61" s="106" t="s">
        <v>438</v>
      </c>
      <c r="Q61" s="106" t="s">
        <v>438</v>
      </c>
      <c r="R61" s="109">
        <v>6711118914</v>
      </c>
      <c r="S61" s="106" t="s">
        <v>438</v>
      </c>
      <c r="T61" s="109">
        <v>6535</v>
      </c>
      <c r="U61" s="109">
        <v>3053858025</v>
      </c>
      <c r="V61" s="109">
        <v>1344550</v>
      </c>
      <c r="W61" s="109">
        <v>4707</v>
      </c>
      <c r="X61" s="109">
        <v>547671385</v>
      </c>
      <c r="Y61" s="106" t="s">
        <v>438</v>
      </c>
      <c r="Z61" s="106" t="s">
        <v>438</v>
      </c>
      <c r="AA61" s="109">
        <v>3601529410</v>
      </c>
      <c r="AB61" s="106" t="s">
        <v>438</v>
      </c>
      <c r="AC61" s="109">
        <v>10121</v>
      </c>
      <c r="AD61" s="109">
        <v>2987098541</v>
      </c>
      <c r="AE61" s="109">
        <v>1128024</v>
      </c>
      <c r="AF61" s="106">
        <v>302</v>
      </c>
      <c r="AG61" s="109">
        <v>94378895</v>
      </c>
      <c r="AH61" s="106" t="s">
        <v>438</v>
      </c>
      <c r="AI61" s="106" t="s">
        <v>438</v>
      </c>
      <c r="AJ61" s="109">
        <v>3081477436</v>
      </c>
      <c r="AK61" s="106" t="s">
        <v>438</v>
      </c>
      <c r="AL61" s="106">
        <v>863</v>
      </c>
      <c r="AM61" s="109">
        <v>2022716784</v>
      </c>
      <c r="AN61" s="109">
        <v>688120</v>
      </c>
      <c r="AO61" s="109">
        <v>1491</v>
      </c>
      <c r="AP61" s="109">
        <v>597044705</v>
      </c>
      <c r="AQ61" s="106" t="s">
        <v>438</v>
      </c>
      <c r="AR61" s="106" t="s">
        <v>438</v>
      </c>
      <c r="AS61" s="109">
        <v>2619761489</v>
      </c>
      <c r="AT61" s="106" t="s">
        <v>438</v>
      </c>
      <c r="AU61" s="109">
        <v>44602</v>
      </c>
      <c r="AV61" s="109">
        <v>19968806698</v>
      </c>
      <c r="AW61" s="109">
        <v>8896517</v>
      </c>
      <c r="AX61" s="109">
        <v>32884</v>
      </c>
      <c r="AY61" s="109">
        <v>3545827105</v>
      </c>
      <c r="AZ61" s="106" t="s">
        <v>438</v>
      </c>
      <c r="BA61" s="106" t="s">
        <v>438</v>
      </c>
      <c r="BB61" s="109">
        <v>23514633803</v>
      </c>
      <c r="BC61" s="106" t="s">
        <v>438</v>
      </c>
      <c r="BD61" s="109">
        <v>39420</v>
      </c>
      <c r="BE61" s="109">
        <v>14532840618</v>
      </c>
      <c r="BF61" s="109">
        <v>6158238</v>
      </c>
      <c r="BG61" s="109">
        <v>27825</v>
      </c>
      <c r="BH61" s="109">
        <v>1935278433</v>
      </c>
      <c r="BI61" s="106" t="s">
        <v>438</v>
      </c>
      <c r="BJ61" s="106" t="s">
        <v>438</v>
      </c>
      <c r="BK61" s="109">
        <v>16468119051</v>
      </c>
      <c r="BL61" s="106" t="s">
        <v>438</v>
      </c>
      <c r="BM61" s="109">
        <v>22212</v>
      </c>
      <c r="BN61" s="109">
        <v>9703220646</v>
      </c>
      <c r="BO61" s="109">
        <v>4267451</v>
      </c>
      <c r="BP61" s="109">
        <v>23159</v>
      </c>
      <c r="BQ61" s="109">
        <v>1569045430</v>
      </c>
      <c r="BR61" s="106" t="s">
        <v>438</v>
      </c>
      <c r="BS61" s="106" t="s">
        <v>438</v>
      </c>
      <c r="BT61" s="109">
        <v>11272266076</v>
      </c>
      <c r="BU61" s="106" t="s">
        <v>438</v>
      </c>
      <c r="BV61" s="109">
        <v>17208</v>
      </c>
      <c r="BW61" s="109">
        <v>4829619972</v>
      </c>
      <c r="BX61" s="109">
        <v>1890787</v>
      </c>
      <c r="BY61" s="106">
        <v>856</v>
      </c>
      <c r="BZ61" s="109">
        <v>170221670</v>
      </c>
      <c r="CA61" s="106" t="s">
        <v>438</v>
      </c>
      <c r="CB61" s="106" t="s">
        <v>438</v>
      </c>
      <c r="CC61" s="109">
        <v>4999841642</v>
      </c>
      <c r="CD61" s="106" t="s">
        <v>438</v>
      </c>
      <c r="CE61" s="109">
        <v>5182</v>
      </c>
      <c r="CF61" s="109">
        <v>5435966080</v>
      </c>
      <c r="CG61" s="109">
        <v>2738279</v>
      </c>
      <c r="CH61" s="109">
        <v>5059</v>
      </c>
      <c r="CI61" s="109">
        <v>1610548672</v>
      </c>
      <c r="CJ61" s="106" t="s">
        <v>438</v>
      </c>
      <c r="CK61" s="106" t="s">
        <v>438</v>
      </c>
      <c r="CL61" s="109">
        <v>7046514752</v>
      </c>
      <c r="CM61" s="106" t="s">
        <v>438</v>
      </c>
    </row>
    <row r="62" spans="1:91">
      <c r="A62" s="108" t="s">
        <v>493</v>
      </c>
      <c r="B62" s="109">
        <v>21310</v>
      </c>
      <c r="C62" s="109">
        <v>10030237673</v>
      </c>
      <c r="D62" s="109">
        <v>3864122</v>
      </c>
      <c r="E62" s="109">
        <v>7269</v>
      </c>
      <c r="F62" s="109">
        <v>1490713051</v>
      </c>
      <c r="G62" s="106" t="s">
        <v>438</v>
      </c>
      <c r="H62" s="106" t="s">
        <v>438</v>
      </c>
      <c r="I62" s="109">
        <v>11520950724</v>
      </c>
      <c r="J62" s="106" t="s">
        <v>438</v>
      </c>
      <c r="K62" s="109">
        <v>20529</v>
      </c>
      <c r="L62" s="109">
        <v>7680935139</v>
      </c>
      <c r="M62" s="109">
        <v>2985763</v>
      </c>
      <c r="N62" s="109">
        <v>5618</v>
      </c>
      <c r="O62" s="109">
        <v>866049795</v>
      </c>
      <c r="P62" s="106" t="s">
        <v>438</v>
      </c>
      <c r="Q62" s="106" t="s">
        <v>438</v>
      </c>
      <c r="R62" s="109">
        <v>8546984934</v>
      </c>
      <c r="S62" s="106" t="s">
        <v>438</v>
      </c>
      <c r="T62" s="109">
        <v>6686</v>
      </c>
      <c r="U62" s="109">
        <v>3465357758</v>
      </c>
      <c r="V62" s="109">
        <v>1423000</v>
      </c>
      <c r="W62" s="109">
        <v>4950</v>
      </c>
      <c r="X62" s="109">
        <v>661379630</v>
      </c>
      <c r="Y62" s="106" t="s">
        <v>438</v>
      </c>
      <c r="Z62" s="106" t="s">
        <v>438</v>
      </c>
      <c r="AA62" s="109">
        <v>4126737388</v>
      </c>
      <c r="AB62" s="106" t="s">
        <v>438</v>
      </c>
      <c r="AC62" s="109">
        <v>13843</v>
      </c>
      <c r="AD62" s="109">
        <v>4215577381</v>
      </c>
      <c r="AE62" s="109">
        <v>1562763</v>
      </c>
      <c r="AF62" s="106">
        <v>296</v>
      </c>
      <c r="AG62" s="109">
        <v>166918412</v>
      </c>
      <c r="AH62" s="106" t="s">
        <v>438</v>
      </c>
      <c r="AI62" s="106" t="s">
        <v>438</v>
      </c>
      <c r="AJ62" s="109">
        <v>4382495793</v>
      </c>
      <c r="AK62" s="106" t="s">
        <v>438</v>
      </c>
      <c r="AL62" s="106">
        <v>781</v>
      </c>
      <c r="AM62" s="109">
        <v>2349302534</v>
      </c>
      <c r="AN62" s="109">
        <v>878359</v>
      </c>
      <c r="AO62" s="109">
        <v>1651</v>
      </c>
      <c r="AP62" s="109">
        <v>624663256</v>
      </c>
      <c r="AQ62" s="106" t="s">
        <v>438</v>
      </c>
      <c r="AR62" s="106" t="s">
        <v>438</v>
      </c>
      <c r="AS62" s="109">
        <v>2973965790</v>
      </c>
      <c r="AT62" s="106" t="s">
        <v>438</v>
      </c>
      <c r="AU62" s="109">
        <v>54272</v>
      </c>
      <c r="AV62" s="109">
        <v>25132622855</v>
      </c>
      <c r="AW62" s="109">
        <v>10592906</v>
      </c>
      <c r="AX62" s="109">
        <v>36399</v>
      </c>
      <c r="AY62" s="109">
        <v>4247724594</v>
      </c>
      <c r="AZ62" s="106" t="s">
        <v>438</v>
      </c>
      <c r="BA62" s="106" t="s">
        <v>438</v>
      </c>
      <c r="BB62" s="109">
        <v>29380347449</v>
      </c>
      <c r="BC62" s="106" t="s">
        <v>438</v>
      </c>
      <c r="BD62" s="109">
        <v>48899</v>
      </c>
      <c r="BE62" s="109">
        <v>18783102750</v>
      </c>
      <c r="BG62" s="109">
        <v>31064</v>
      </c>
      <c r="BH62" s="109">
        <v>2406934020</v>
      </c>
      <c r="BI62" s="106" t="s">
        <v>438</v>
      </c>
      <c r="BJ62" s="106" t="s">
        <v>438</v>
      </c>
      <c r="BK62" s="109">
        <v>21190036770</v>
      </c>
      <c r="BL62" s="106" t="s">
        <v>438</v>
      </c>
      <c r="BM62" s="109">
        <v>25564</v>
      </c>
      <c r="BN62" s="109">
        <v>12116661992</v>
      </c>
      <c r="BO62" s="109">
        <v>4982505</v>
      </c>
      <c r="BP62" s="109">
        <v>25941</v>
      </c>
      <c r="BQ62" s="109">
        <v>1905480595</v>
      </c>
      <c r="BR62" s="106" t="s">
        <v>438</v>
      </c>
      <c r="BS62" s="106" t="s">
        <v>438</v>
      </c>
      <c r="BT62" s="109">
        <v>14022142587</v>
      </c>
      <c r="BU62" s="106" t="s">
        <v>438</v>
      </c>
      <c r="BV62" s="109">
        <v>23335</v>
      </c>
      <c r="BW62" s="109">
        <v>6666440758</v>
      </c>
      <c r="BX62" s="109">
        <v>2541080</v>
      </c>
      <c r="BY62" s="106">
        <v>871</v>
      </c>
      <c r="BZ62" s="109">
        <v>256045399</v>
      </c>
      <c r="CA62" s="106" t="s">
        <v>438</v>
      </c>
      <c r="CB62" s="106" t="s">
        <v>438</v>
      </c>
      <c r="CC62" s="109">
        <v>6922486157</v>
      </c>
      <c r="CD62" s="106" t="s">
        <v>438</v>
      </c>
      <c r="CE62" s="109">
        <v>5373</v>
      </c>
      <c r="CF62" s="109">
        <v>6349520105</v>
      </c>
      <c r="CG62" s="109">
        <v>3069321</v>
      </c>
      <c r="CH62" s="109">
        <v>5335</v>
      </c>
      <c r="CI62" s="109">
        <v>1840790574</v>
      </c>
      <c r="CJ62" s="106" t="s">
        <v>438</v>
      </c>
      <c r="CK62" s="106" t="s">
        <v>438</v>
      </c>
      <c r="CL62" s="109">
        <v>8190310679</v>
      </c>
      <c r="CM62" s="106" t="s">
        <v>438</v>
      </c>
    </row>
    <row r="63" spans="1:91" ht="14.75" customHeight="1">
      <c r="A63" s="110" t="s">
        <v>494</v>
      </c>
      <c r="B63" s="111"/>
      <c r="C63" s="111"/>
      <c r="D63" s="111"/>
      <c r="E63" s="111"/>
      <c r="F63" s="111"/>
      <c r="G63" s="111"/>
      <c r="H63" s="111"/>
      <c r="I63" s="111"/>
      <c r="J63" s="111"/>
      <c r="K63" s="111"/>
      <c r="L63" s="111"/>
      <c r="M63" s="111"/>
      <c r="N63" s="111"/>
      <c r="O63" s="111"/>
      <c r="P63" s="111"/>
      <c r="Q63" s="111"/>
      <c r="R63" s="111"/>
      <c r="S63" s="111"/>
      <c r="T63" s="111"/>
      <c r="U63" s="111"/>
      <c r="V63" s="111"/>
      <c r="W63" s="111"/>
      <c r="X63" s="111"/>
      <c r="Y63" s="111"/>
      <c r="Z63" s="111"/>
      <c r="AA63" s="111"/>
      <c r="AB63" s="111"/>
      <c r="AC63" s="111"/>
      <c r="AD63" s="111"/>
      <c r="AE63" s="111"/>
      <c r="AF63" s="111"/>
      <c r="AG63" s="111"/>
      <c r="AH63" s="111"/>
      <c r="AI63" s="111"/>
      <c r="AJ63" s="111"/>
      <c r="AK63" s="111"/>
      <c r="AL63" s="111"/>
      <c r="AM63" s="111"/>
      <c r="AN63" s="111"/>
      <c r="AO63" s="111"/>
      <c r="AP63" s="111"/>
      <c r="AQ63" s="111"/>
      <c r="AR63" s="111"/>
      <c r="AS63" s="111"/>
      <c r="AT63" s="111"/>
      <c r="AU63" s="111"/>
      <c r="AV63" s="111"/>
      <c r="AW63" s="111"/>
      <c r="AX63" s="111"/>
      <c r="AY63" s="111"/>
      <c r="AZ63" s="111"/>
      <c r="BA63" s="111"/>
      <c r="BB63" s="111"/>
      <c r="BC63" s="111"/>
      <c r="BD63" s="111"/>
      <c r="BE63" s="111"/>
      <c r="BF63" s="111"/>
      <c r="BG63" s="111"/>
      <c r="BH63" s="111"/>
      <c r="BI63" s="111"/>
      <c r="BJ63" s="111"/>
      <c r="BK63" s="111"/>
      <c r="BL63" s="111"/>
      <c r="BM63" s="111"/>
      <c r="BN63" s="111"/>
      <c r="BO63" s="111"/>
      <c r="BP63" s="111"/>
      <c r="BQ63" s="111"/>
      <c r="BR63" s="111"/>
      <c r="BS63" s="111"/>
      <c r="BT63" s="111"/>
      <c r="BU63" s="111"/>
      <c r="BV63" s="111"/>
      <c r="BW63" s="111"/>
      <c r="BX63" s="111"/>
      <c r="BY63" s="111"/>
      <c r="BZ63" s="111"/>
      <c r="CA63" s="111"/>
      <c r="CB63" s="111"/>
      <c r="CC63" s="111"/>
      <c r="CD63" s="111"/>
      <c r="CE63" s="111"/>
      <c r="CF63" s="111"/>
      <c r="CG63" s="111"/>
      <c r="CH63" s="111"/>
      <c r="CI63" s="111"/>
      <c r="CJ63" s="111"/>
      <c r="CK63" s="111"/>
      <c r="CL63" s="111"/>
      <c r="CM63" s="111"/>
    </row>
    <row r="64" spans="1:91" ht="14.75" customHeight="1">
      <c r="A64" s="106" t="s">
        <v>495</v>
      </c>
      <c r="B64" s="112"/>
      <c r="C64" s="112"/>
      <c r="D64" s="112"/>
      <c r="E64" s="112"/>
      <c r="F64" s="112"/>
      <c r="G64" s="112"/>
      <c r="H64" s="112"/>
      <c r="I64" s="112"/>
      <c r="J64" s="112"/>
      <c r="K64" s="112"/>
      <c r="L64" s="112"/>
      <c r="M64" s="112"/>
      <c r="N64" s="112"/>
      <c r="O64" s="112"/>
      <c r="P64" s="112"/>
      <c r="Q64" s="112"/>
      <c r="R64" s="112"/>
      <c r="S64" s="112"/>
      <c r="T64" s="112"/>
      <c r="U64" s="112"/>
      <c r="V64" s="112"/>
      <c r="W64" s="112"/>
      <c r="X64" s="112"/>
      <c r="Y64" s="112"/>
      <c r="Z64" s="112"/>
      <c r="AA64" s="112"/>
      <c r="AB64" s="112"/>
      <c r="AC64" s="112"/>
      <c r="AD64" s="112"/>
      <c r="AE64" s="112"/>
      <c r="AF64" s="112"/>
      <c r="AG64" s="112"/>
      <c r="AH64" s="112"/>
      <c r="AI64" s="112"/>
      <c r="AJ64" s="112"/>
      <c r="AK64" s="112"/>
      <c r="AL64" s="112"/>
      <c r="AM64" s="112"/>
      <c r="AN64" s="112"/>
      <c r="AO64" s="112"/>
      <c r="AP64" s="112"/>
      <c r="AQ64" s="112"/>
      <c r="AR64" s="112"/>
      <c r="AS64" s="112"/>
      <c r="AT64" s="112"/>
      <c r="AU64" s="112"/>
      <c r="AV64" s="112"/>
      <c r="AW64" s="112"/>
      <c r="AX64" s="112"/>
      <c r="AY64" s="112"/>
      <c r="AZ64" s="112"/>
      <c r="BA64" s="112"/>
      <c r="BB64" s="112"/>
      <c r="BC64" s="112"/>
      <c r="BD64" s="112"/>
      <c r="BE64" s="112"/>
      <c r="BF64" s="112"/>
      <c r="BG64" s="112"/>
      <c r="BH64" s="112"/>
      <c r="BI64" s="112"/>
      <c r="BJ64" s="112"/>
      <c r="BK64" s="112"/>
      <c r="BL64" s="112"/>
      <c r="BM64" s="112"/>
      <c r="BN64" s="112"/>
      <c r="BO64" s="112"/>
      <c r="BP64" s="112"/>
      <c r="BQ64" s="112"/>
      <c r="BR64" s="112"/>
      <c r="BS64" s="112"/>
      <c r="BT64" s="112"/>
      <c r="BU64" s="112"/>
      <c r="BV64" s="112"/>
      <c r="BW64" s="112"/>
      <c r="BX64" s="112"/>
      <c r="BY64" s="112"/>
      <c r="BZ64" s="112"/>
      <c r="CA64" s="112"/>
      <c r="CB64" s="112"/>
      <c r="CC64" s="112"/>
      <c r="CD64" s="112"/>
      <c r="CE64" s="112"/>
      <c r="CF64" s="112"/>
      <c r="CG64" s="112"/>
      <c r="CH64" s="112"/>
      <c r="CI64" s="112"/>
      <c r="CJ64" s="112"/>
      <c r="CK64" s="112"/>
      <c r="CL64" s="112"/>
      <c r="CM64" s="112"/>
    </row>
    <row r="65" spans="1:91" ht="14.75" customHeight="1">
      <c r="A65" s="106" t="s">
        <v>496</v>
      </c>
      <c r="B65" s="112"/>
      <c r="C65" s="112"/>
      <c r="D65" s="112"/>
      <c r="E65" s="112"/>
      <c r="F65" s="112"/>
      <c r="G65" s="112"/>
      <c r="H65" s="112"/>
      <c r="I65" s="112"/>
      <c r="J65" s="112"/>
      <c r="K65" s="112"/>
      <c r="L65" s="112"/>
      <c r="M65" s="112"/>
      <c r="N65" s="112"/>
      <c r="O65" s="112"/>
      <c r="P65" s="112"/>
      <c r="Q65" s="112"/>
      <c r="R65" s="112"/>
      <c r="S65" s="112"/>
      <c r="T65" s="112"/>
      <c r="U65" s="112"/>
      <c r="V65" s="112"/>
      <c r="W65" s="112"/>
      <c r="X65" s="112"/>
      <c r="Y65" s="112"/>
      <c r="Z65" s="112"/>
      <c r="AA65" s="112"/>
      <c r="AB65" s="112"/>
      <c r="AC65" s="112"/>
      <c r="AD65" s="112"/>
      <c r="AE65" s="112"/>
      <c r="AF65" s="112"/>
      <c r="AG65" s="112"/>
      <c r="AH65" s="112"/>
      <c r="AI65" s="112"/>
      <c r="AJ65" s="112"/>
      <c r="AK65" s="112"/>
      <c r="AL65" s="112"/>
      <c r="AM65" s="112"/>
      <c r="AN65" s="112"/>
      <c r="AO65" s="112"/>
      <c r="AP65" s="112"/>
      <c r="AQ65" s="112"/>
      <c r="AR65" s="112"/>
      <c r="AS65" s="112"/>
      <c r="AT65" s="112"/>
      <c r="AU65" s="112"/>
      <c r="AV65" s="112"/>
      <c r="AW65" s="112"/>
      <c r="AX65" s="112"/>
      <c r="AY65" s="112"/>
      <c r="AZ65" s="112"/>
      <c r="BA65" s="112"/>
      <c r="BB65" s="112"/>
      <c r="BC65" s="112"/>
      <c r="BD65" s="112"/>
      <c r="BE65" s="111" t="s">
        <v>497</v>
      </c>
      <c r="BF65" s="111" t="s">
        <v>498</v>
      </c>
      <c r="BG65" s="111" t="s">
        <v>200</v>
      </c>
      <c r="BJ65" s="112"/>
      <c r="BK65" s="112"/>
      <c r="BL65" s="112"/>
      <c r="BM65" s="112"/>
      <c r="BN65" s="112"/>
      <c r="BO65" s="112"/>
      <c r="BP65" s="112"/>
      <c r="BQ65" s="112"/>
      <c r="BR65" s="112"/>
      <c r="BS65" s="112"/>
      <c r="BT65" s="112"/>
      <c r="BU65" s="112"/>
      <c r="BV65" s="112"/>
      <c r="BW65" s="112"/>
      <c r="BX65" s="112"/>
      <c r="BY65" s="112"/>
      <c r="BZ65" s="112"/>
      <c r="CA65" s="112"/>
      <c r="CB65" s="112"/>
      <c r="CC65" s="112"/>
      <c r="CD65" s="112"/>
      <c r="CE65" s="112"/>
      <c r="CF65" s="112"/>
      <c r="CG65" s="112"/>
      <c r="CH65" s="112"/>
      <c r="CI65" s="112"/>
      <c r="CJ65" s="112"/>
      <c r="CK65" s="112"/>
      <c r="CL65" s="112"/>
      <c r="CM65" s="112"/>
    </row>
    <row r="66" spans="1:91" ht="14.75" customHeight="1">
      <c r="A66" s="106" t="s">
        <v>499</v>
      </c>
      <c r="B66" s="112"/>
      <c r="C66" s="112"/>
      <c r="D66" s="112"/>
      <c r="E66" s="112"/>
      <c r="F66" s="112"/>
      <c r="G66" s="112"/>
      <c r="H66" s="112"/>
      <c r="I66" s="112"/>
      <c r="J66" s="112"/>
      <c r="K66" s="112"/>
      <c r="L66" s="112"/>
      <c r="M66" s="112"/>
      <c r="N66" s="112"/>
      <c r="O66" s="112"/>
      <c r="P66" s="112"/>
      <c r="Q66" s="112"/>
      <c r="R66" s="112"/>
      <c r="S66" s="112"/>
      <c r="T66" s="112"/>
      <c r="U66" s="112"/>
      <c r="V66" s="112"/>
      <c r="W66" s="112"/>
      <c r="X66" s="112"/>
      <c r="Y66" s="112"/>
      <c r="Z66" s="112"/>
      <c r="AA66" s="112"/>
      <c r="AB66" s="112"/>
      <c r="AC66" s="112"/>
      <c r="AD66" s="112"/>
      <c r="AE66" s="112"/>
      <c r="AF66" s="112"/>
      <c r="AG66" s="112"/>
      <c r="AH66" s="112"/>
      <c r="AI66" s="112"/>
      <c r="AJ66" s="112"/>
      <c r="AK66" s="112"/>
      <c r="AL66" s="112"/>
      <c r="AM66" s="112"/>
      <c r="AN66" s="112"/>
      <c r="AO66" s="112"/>
      <c r="AP66" s="112"/>
      <c r="AQ66" s="112"/>
      <c r="AR66" s="112"/>
      <c r="AS66" s="112"/>
      <c r="AT66" s="112"/>
      <c r="AU66" s="112"/>
      <c r="AV66" s="112"/>
      <c r="AW66" s="112"/>
      <c r="AX66" s="112"/>
      <c r="AY66" s="112"/>
      <c r="AZ66" s="112"/>
      <c r="BA66" s="112"/>
      <c r="BB66" s="112"/>
      <c r="BC66" s="112"/>
      <c r="BD66" s="111" t="s">
        <v>500</v>
      </c>
      <c r="BE66" s="138">
        <f>BK62</f>
        <v>21190036770</v>
      </c>
      <c r="BF66" s="138">
        <f>CL62</f>
        <v>8190310679</v>
      </c>
      <c r="BG66" s="138">
        <f>SUM(BE66:BF66)</f>
        <v>29380347449</v>
      </c>
      <c r="BJ66" s="112"/>
      <c r="BK66" s="112"/>
      <c r="BL66" s="112"/>
      <c r="BM66" s="112"/>
      <c r="BN66" s="112"/>
      <c r="BO66" s="112"/>
      <c r="BP66" s="112"/>
      <c r="BQ66" s="112"/>
      <c r="BR66" s="112"/>
      <c r="BS66" s="112"/>
      <c r="BT66" s="112"/>
      <c r="BU66" s="112"/>
      <c r="BV66" s="112"/>
      <c r="BW66" s="112"/>
      <c r="BX66" s="112"/>
      <c r="BY66" s="112"/>
      <c r="BZ66" s="112"/>
      <c r="CA66" s="112"/>
      <c r="CB66" s="112"/>
      <c r="CC66" s="112"/>
      <c r="CD66" s="112"/>
      <c r="CE66" s="112"/>
      <c r="CF66" s="112"/>
      <c r="CG66" s="112"/>
      <c r="CH66" s="112"/>
      <c r="CI66" s="112"/>
      <c r="CJ66" s="112"/>
      <c r="CK66" s="112"/>
      <c r="CL66" s="112"/>
      <c r="CM66" s="112"/>
    </row>
    <row r="67" spans="1:91" ht="14.75" customHeight="1">
      <c r="A67" s="106" t="s">
        <v>501</v>
      </c>
      <c r="B67" s="112"/>
      <c r="C67" s="112"/>
      <c r="D67" s="112"/>
      <c r="E67" s="112"/>
      <c r="F67" s="112"/>
      <c r="G67" s="112"/>
      <c r="H67" s="112"/>
      <c r="I67" s="112"/>
      <c r="J67" s="112"/>
      <c r="K67" s="112"/>
      <c r="L67" s="112"/>
      <c r="M67" s="112"/>
      <c r="N67" s="112"/>
      <c r="O67" s="112"/>
      <c r="P67" s="112"/>
      <c r="Q67" s="112"/>
      <c r="R67" s="112"/>
      <c r="S67" s="112"/>
      <c r="T67" s="112"/>
      <c r="U67" s="112"/>
      <c r="V67" s="112"/>
      <c r="W67" s="112"/>
      <c r="X67" s="112"/>
      <c r="Y67" s="112"/>
      <c r="Z67" s="112"/>
      <c r="AA67" s="112"/>
      <c r="AB67" s="112"/>
      <c r="AC67" s="112"/>
      <c r="AD67" s="112"/>
      <c r="AE67" s="112"/>
      <c r="AF67" s="112"/>
      <c r="AG67" s="112"/>
      <c r="AH67" s="112"/>
      <c r="AI67" s="112"/>
      <c r="AJ67" s="112"/>
      <c r="AK67" s="112"/>
      <c r="AL67" s="112"/>
      <c r="AM67" s="112"/>
      <c r="AN67" s="112"/>
      <c r="AO67" s="112"/>
      <c r="AP67" s="112"/>
      <c r="AQ67" s="112"/>
      <c r="AR67" s="112"/>
      <c r="AS67" s="112"/>
      <c r="AT67" s="112"/>
      <c r="AU67" s="112"/>
      <c r="AV67" s="112"/>
      <c r="AW67" s="112"/>
      <c r="AX67" s="112"/>
      <c r="AY67" s="112"/>
      <c r="AZ67" s="112"/>
      <c r="BA67" s="112"/>
      <c r="BB67" s="112"/>
      <c r="BC67" s="112"/>
      <c r="BD67" s="111" t="s">
        <v>502</v>
      </c>
      <c r="BE67" s="138">
        <f>BE66/BG66*100</f>
        <v>72.123166027164302</v>
      </c>
      <c r="BF67" s="138">
        <f>BF66/BG66*100</f>
        <v>27.876833972835701</v>
      </c>
      <c r="BG67" s="138"/>
      <c r="BJ67" s="112"/>
      <c r="BK67" s="112"/>
      <c r="BL67" s="112"/>
      <c r="BM67" s="112"/>
      <c r="BN67" s="112"/>
      <c r="BO67" s="112"/>
      <c r="BP67" s="112"/>
      <c r="BQ67" s="112"/>
      <c r="BR67" s="112"/>
      <c r="BS67" s="112"/>
      <c r="BT67" s="112"/>
      <c r="BU67" s="112"/>
      <c r="BV67" s="112"/>
      <c r="BW67" s="112"/>
      <c r="BX67" s="112"/>
      <c r="BY67" s="112"/>
      <c r="BZ67" s="112"/>
      <c r="CA67" s="112"/>
      <c r="CB67" s="112"/>
      <c r="CC67" s="112"/>
      <c r="CD67" s="112"/>
      <c r="CE67" s="112"/>
      <c r="CF67" s="112"/>
      <c r="CG67" s="112"/>
      <c r="CH67" s="112"/>
      <c r="CI67" s="112"/>
      <c r="CJ67" s="112"/>
      <c r="CK67" s="112"/>
      <c r="CL67" s="112"/>
      <c r="CM67" s="112"/>
    </row>
    <row r="68" spans="1:91" ht="29">
      <c r="B68" s="112"/>
      <c r="C68" s="112"/>
      <c r="D68" s="112"/>
      <c r="E68" s="112"/>
      <c r="F68" s="112"/>
      <c r="G68" s="112"/>
      <c r="H68" s="112"/>
      <c r="I68" s="112"/>
      <c r="J68" s="112"/>
      <c r="K68" s="112"/>
      <c r="L68" s="112"/>
      <c r="M68" s="112"/>
      <c r="N68" s="112"/>
      <c r="O68" s="112"/>
      <c r="P68" s="112"/>
      <c r="Q68" s="112"/>
      <c r="R68" s="112"/>
      <c r="S68" s="112"/>
      <c r="T68" s="112"/>
      <c r="U68" s="112"/>
      <c r="V68" s="112"/>
      <c r="W68" s="112"/>
      <c r="X68" s="112"/>
      <c r="Y68" s="112"/>
      <c r="Z68" s="112"/>
      <c r="AA68" s="112"/>
      <c r="AB68" s="112"/>
      <c r="AC68" s="112"/>
      <c r="AD68" s="112"/>
      <c r="AE68" s="112"/>
      <c r="AF68" s="112"/>
      <c r="AG68" s="112"/>
      <c r="AH68" s="112"/>
      <c r="AI68" s="112"/>
      <c r="AJ68" s="112"/>
      <c r="AK68" s="112"/>
      <c r="AL68" s="112"/>
      <c r="AM68" s="112"/>
      <c r="AN68" s="112"/>
      <c r="AO68" s="112"/>
      <c r="AP68" s="112"/>
      <c r="AQ68" s="112"/>
      <c r="AR68" s="112"/>
      <c r="AS68" s="112"/>
      <c r="AT68" s="112"/>
      <c r="AU68" s="112"/>
      <c r="AV68" s="112"/>
      <c r="AW68" s="112"/>
      <c r="AX68" s="112"/>
      <c r="AY68" s="112"/>
      <c r="AZ68" s="112"/>
      <c r="BA68" s="112"/>
      <c r="BB68" s="112"/>
      <c r="BC68" s="112"/>
      <c r="BD68" s="111" t="s">
        <v>172</v>
      </c>
      <c r="BE68" s="139">
        <v>7523585</v>
      </c>
      <c r="BF68" s="138">
        <f>CG62</f>
        <v>3069321</v>
      </c>
      <c r="BG68" s="138">
        <f>AW62</f>
        <v>10592906</v>
      </c>
      <c r="BJ68" s="112"/>
      <c r="BK68" s="112"/>
      <c r="BL68" s="112"/>
      <c r="BM68" s="112"/>
      <c r="BN68" s="112"/>
      <c r="BO68" s="112"/>
      <c r="BP68" s="112"/>
      <c r="BQ68" s="112"/>
      <c r="BR68" s="112"/>
      <c r="BS68" s="112"/>
      <c r="BT68" s="112"/>
      <c r="BU68" s="112"/>
      <c r="BV68" s="112"/>
      <c r="BW68" s="112"/>
      <c r="BX68" s="112"/>
      <c r="BY68" s="112"/>
      <c r="BZ68" s="112"/>
      <c r="CA68" s="112"/>
      <c r="CB68" s="112"/>
      <c r="CC68" s="112"/>
      <c r="CD68" s="112"/>
      <c r="CE68" s="112"/>
      <c r="CF68" s="112"/>
      <c r="CG68" s="112"/>
      <c r="CH68" s="112"/>
      <c r="CI68" s="112"/>
      <c r="CJ68" s="112"/>
      <c r="CK68" s="112"/>
      <c r="CL68" s="112"/>
      <c r="CM68" s="112"/>
    </row>
    <row r="69" spans="1:91" ht="14.75" customHeight="1">
      <c r="A69" s="110" t="s">
        <v>503</v>
      </c>
      <c r="B69" s="111"/>
      <c r="C69" s="111"/>
      <c r="D69" s="111"/>
      <c r="E69" s="111"/>
      <c r="F69" s="111"/>
      <c r="G69" s="111"/>
      <c r="H69" s="111"/>
      <c r="I69" s="111"/>
      <c r="J69" s="111"/>
      <c r="K69" s="111"/>
      <c r="L69" s="111"/>
      <c r="M69" s="111"/>
      <c r="N69" s="111"/>
      <c r="O69" s="111"/>
      <c r="P69" s="111"/>
      <c r="Q69" s="111"/>
      <c r="R69" s="111"/>
      <c r="S69" s="111"/>
      <c r="T69" s="111"/>
      <c r="U69" s="111"/>
      <c r="V69" s="111"/>
      <c r="W69" s="111"/>
      <c r="X69" s="111"/>
      <c r="Y69" s="111"/>
      <c r="Z69" s="111"/>
      <c r="AA69" s="111"/>
      <c r="AB69" s="111"/>
      <c r="AC69" s="111"/>
      <c r="AD69" s="111"/>
      <c r="AE69" s="111"/>
      <c r="AF69" s="111"/>
      <c r="AG69" s="111"/>
      <c r="AH69" s="111"/>
      <c r="AI69" s="111"/>
      <c r="AJ69" s="111"/>
      <c r="AK69" s="111"/>
      <c r="AL69" s="111"/>
      <c r="AM69" s="111"/>
      <c r="AN69" s="111"/>
      <c r="AO69" s="111"/>
      <c r="AP69" s="111"/>
      <c r="AQ69" s="111"/>
      <c r="AR69" s="111"/>
      <c r="AS69" s="111"/>
      <c r="AT69" s="111"/>
      <c r="AU69" s="111"/>
      <c r="AV69" s="111"/>
      <c r="AW69" s="111"/>
      <c r="AX69" s="111"/>
      <c r="AY69" s="111"/>
      <c r="AZ69" s="111"/>
      <c r="BA69" s="111"/>
      <c r="BB69" s="111"/>
      <c r="BC69" s="111"/>
      <c r="BD69" s="110" t="s">
        <v>502</v>
      </c>
      <c r="BE69" s="138">
        <f>BE68/BG68*100</f>
        <v>71.024749960020415</v>
      </c>
      <c r="BF69" s="138">
        <f>BF68/BG68*100</f>
        <v>28.975250039979588</v>
      </c>
      <c r="BG69" s="140"/>
      <c r="BJ69" s="111"/>
      <c r="BK69" s="111"/>
      <c r="BL69" s="111"/>
      <c r="BM69" s="111"/>
      <c r="BN69" s="111"/>
      <c r="BO69" s="111"/>
      <c r="BP69" s="111"/>
      <c r="BQ69" s="111"/>
      <c r="BR69" s="111"/>
      <c r="BS69" s="111"/>
      <c r="BT69" s="111"/>
      <c r="BU69" s="111"/>
      <c r="BV69" s="111"/>
      <c r="BW69" s="111"/>
      <c r="BX69" s="111"/>
      <c r="BY69" s="111"/>
      <c r="BZ69" s="111"/>
      <c r="CA69" s="111"/>
      <c r="CB69" s="111"/>
      <c r="CC69" s="111"/>
      <c r="CD69" s="111"/>
      <c r="CE69" s="111"/>
      <c r="CF69" s="111"/>
      <c r="CG69" s="111"/>
      <c r="CH69" s="111"/>
      <c r="CI69" s="111"/>
      <c r="CJ69" s="111"/>
      <c r="CK69" s="111"/>
      <c r="CL69" s="111"/>
      <c r="CM69" s="111"/>
    </row>
    <row r="70" spans="1:91" ht="14.75" customHeight="1">
      <c r="A70" s="106" t="s">
        <v>504</v>
      </c>
      <c r="B70" s="112"/>
      <c r="C70" s="112"/>
      <c r="D70" s="112"/>
      <c r="E70" s="112"/>
      <c r="F70" s="112"/>
      <c r="G70" s="112"/>
      <c r="H70" s="112"/>
      <c r="I70" s="112"/>
      <c r="J70" s="112"/>
      <c r="K70" s="112"/>
      <c r="L70" s="112"/>
      <c r="M70" s="112"/>
      <c r="N70" s="112"/>
      <c r="O70" s="112"/>
      <c r="P70" s="112"/>
      <c r="Q70" s="112"/>
      <c r="R70" s="112"/>
      <c r="S70" s="112"/>
      <c r="T70" s="112"/>
      <c r="U70" s="112"/>
      <c r="V70" s="112"/>
      <c r="W70" s="112"/>
      <c r="X70" s="112"/>
      <c r="Y70" s="112"/>
      <c r="Z70" s="112"/>
      <c r="AA70" s="112"/>
      <c r="AB70" s="112"/>
      <c r="AC70" s="112"/>
      <c r="AD70" s="112"/>
      <c r="AE70" s="112"/>
      <c r="AF70" s="112"/>
      <c r="AG70" s="112"/>
      <c r="AH70" s="112"/>
      <c r="AI70" s="112"/>
      <c r="AJ70" s="112"/>
      <c r="AK70" s="112"/>
      <c r="AL70" s="112"/>
      <c r="AM70" s="112"/>
      <c r="AN70" s="112"/>
      <c r="AO70" s="112"/>
      <c r="AP70" s="112"/>
      <c r="AQ70" s="112"/>
      <c r="AR70" s="112"/>
      <c r="AS70" s="112"/>
      <c r="AT70" s="112"/>
      <c r="AU70" s="112"/>
      <c r="AV70" s="112"/>
      <c r="AW70" s="112"/>
      <c r="AX70" s="112"/>
      <c r="AY70" s="112"/>
      <c r="AZ70" s="112"/>
      <c r="BA70" s="112"/>
      <c r="BB70" s="112"/>
      <c r="BC70" s="112"/>
      <c r="BD70" s="111" t="s">
        <v>434</v>
      </c>
      <c r="BE70" s="138">
        <f>BD62+BG62</f>
        <v>79963</v>
      </c>
      <c r="BF70" s="138">
        <f>CE62+CH62</f>
        <v>10708</v>
      </c>
      <c r="BG70" s="138">
        <f>SUM(BE70:BF70)</f>
        <v>90671</v>
      </c>
      <c r="BJ70" s="112"/>
      <c r="BK70" s="112"/>
      <c r="BL70" s="112"/>
      <c r="BM70" s="112"/>
      <c r="BN70" s="112"/>
      <c r="BO70" s="112"/>
      <c r="BP70" s="112"/>
      <c r="BQ70" s="112"/>
      <c r="BR70" s="112"/>
      <c r="BS70" s="112"/>
      <c r="BT70" s="112"/>
      <c r="BU70" s="112"/>
      <c r="BV70" s="112"/>
      <c r="BW70" s="112"/>
      <c r="BX70" s="112"/>
      <c r="BY70" s="112"/>
      <c r="BZ70" s="112"/>
      <c r="CA70" s="112"/>
      <c r="CB70" s="112"/>
      <c r="CC70" s="112"/>
      <c r="CD70" s="112"/>
      <c r="CE70" s="112"/>
      <c r="CF70" s="112"/>
      <c r="CG70" s="112"/>
      <c r="CH70" s="112"/>
      <c r="CI70" s="112"/>
      <c r="CJ70" s="112"/>
      <c r="CK70" s="112"/>
      <c r="CL70" s="112"/>
      <c r="CM70" s="112"/>
    </row>
    <row r="71" spans="1:91" ht="14.75" customHeight="1">
      <c r="A71" s="106" t="s">
        <v>505</v>
      </c>
      <c r="B71" s="112"/>
      <c r="C71" s="112"/>
      <c r="D71" s="112"/>
      <c r="E71" s="112"/>
      <c r="F71" s="112"/>
      <c r="G71" s="112"/>
      <c r="H71" s="112"/>
      <c r="I71" s="112"/>
      <c r="J71" s="112"/>
      <c r="K71" s="112"/>
      <c r="L71" s="112"/>
      <c r="M71" s="112"/>
      <c r="N71" s="112"/>
      <c r="O71" s="112"/>
      <c r="P71" s="112"/>
      <c r="Q71" s="112"/>
      <c r="R71" s="112"/>
      <c r="S71" s="112"/>
      <c r="T71" s="112"/>
      <c r="U71" s="112"/>
      <c r="V71" s="112"/>
      <c r="W71" s="112"/>
      <c r="X71" s="112"/>
      <c r="Y71" s="112"/>
      <c r="Z71" s="112"/>
      <c r="AA71" s="112"/>
      <c r="AB71" s="112"/>
      <c r="AC71" s="112"/>
      <c r="AD71" s="112"/>
      <c r="AE71" s="112"/>
      <c r="AF71" s="112"/>
      <c r="AG71" s="112"/>
      <c r="AH71" s="112"/>
      <c r="AI71" s="112"/>
      <c r="AJ71" s="112"/>
      <c r="AK71" s="112"/>
      <c r="AL71" s="112"/>
      <c r="AM71" s="112"/>
      <c r="AN71" s="112"/>
      <c r="AO71" s="112"/>
      <c r="AP71" s="112"/>
      <c r="AQ71" s="112"/>
      <c r="AR71" s="112"/>
      <c r="AS71" s="112"/>
      <c r="AT71" s="112"/>
      <c r="AU71" s="112"/>
      <c r="AV71" s="112"/>
      <c r="AW71" s="112"/>
      <c r="AX71" s="112"/>
      <c r="AY71" s="112"/>
      <c r="AZ71" s="112"/>
      <c r="BA71" s="112"/>
      <c r="BB71" s="112"/>
      <c r="BC71" s="112"/>
      <c r="BD71" s="111" t="s">
        <v>502</v>
      </c>
      <c r="BE71" s="138">
        <f>BE70/BG70*100</f>
        <v>88.190270317962742</v>
      </c>
      <c r="BF71" s="138">
        <f>BF70/BG70*100</f>
        <v>11.809729682037256</v>
      </c>
      <c r="BG71" s="139"/>
      <c r="BI71" s="112"/>
      <c r="BJ71" s="112"/>
      <c r="BK71" s="112"/>
      <c r="BL71" s="112"/>
      <c r="BM71" s="112"/>
      <c r="BN71" s="112"/>
      <c r="BO71" s="112"/>
      <c r="BP71" s="112"/>
      <c r="BQ71" s="112"/>
      <c r="BR71" s="112"/>
      <c r="BS71" s="112"/>
      <c r="BT71" s="112"/>
      <c r="BU71" s="112"/>
      <c r="BV71" s="112"/>
      <c r="BW71" s="112"/>
      <c r="BX71" s="112"/>
      <c r="BY71" s="112"/>
      <c r="BZ71" s="112"/>
      <c r="CA71" s="112"/>
      <c r="CB71" s="112"/>
      <c r="CC71" s="112"/>
      <c r="CD71" s="112"/>
      <c r="CE71" s="112"/>
      <c r="CF71" s="112"/>
      <c r="CG71" s="112"/>
      <c r="CH71" s="112"/>
      <c r="CI71" s="112"/>
      <c r="CJ71" s="112"/>
      <c r="CK71" s="112"/>
      <c r="CL71" s="112"/>
      <c r="CM71" s="112"/>
    </row>
    <row r="72" spans="1:91" ht="14.75" customHeight="1">
      <c r="A72" s="106" t="s">
        <v>506</v>
      </c>
      <c r="B72" s="112"/>
      <c r="C72" s="112"/>
      <c r="D72" s="112"/>
      <c r="E72" s="112"/>
      <c r="F72" s="112"/>
      <c r="G72" s="112"/>
      <c r="H72" s="112"/>
      <c r="I72" s="112"/>
      <c r="J72" s="112"/>
      <c r="K72" s="112"/>
      <c r="L72" s="112"/>
      <c r="M72" s="112"/>
      <c r="N72" s="112"/>
      <c r="O72" s="112"/>
      <c r="P72" s="112"/>
      <c r="Q72" s="112"/>
      <c r="R72" s="112"/>
      <c r="S72" s="112"/>
      <c r="T72" s="112"/>
      <c r="U72" s="112"/>
      <c r="V72" s="112"/>
      <c r="W72" s="112"/>
      <c r="X72" s="112"/>
      <c r="Y72" s="112"/>
      <c r="Z72" s="112"/>
      <c r="AA72" s="112"/>
      <c r="AB72" s="112"/>
      <c r="AC72" s="112"/>
      <c r="AD72" s="112"/>
      <c r="AE72" s="112"/>
      <c r="AF72" s="112"/>
      <c r="AG72" s="112"/>
      <c r="AH72" s="112"/>
      <c r="AI72" s="112"/>
      <c r="AJ72" s="112"/>
      <c r="AK72" s="112"/>
      <c r="AL72" s="112"/>
      <c r="AM72" s="112"/>
      <c r="AN72" s="112"/>
      <c r="AO72" s="112"/>
      <c r="AP72" s="112"/>
      <c r="AQ72" s="112"/>
      <c r="AR72" s="112"/>
      <c r="AS72" s="112"/>
      <c r="AT72" s="112"/>
      <c r="AU72" s="112"/>
      <c r="AV72" s="112"/>
      <c r="AW72" s="112"/>
      <c r="AX72" s="112"/>
      <c r="AY72" s="112"/>
      <c r="AZ72" s="112"/>
      <c r="BA72" s="112"/>
      <c r="BB72" s="112"/>
      <c r="BC72" s="112"/>
      <c r="BD72" s="112"/>
      <c r="BE72" s="112"/>
      <c r="BF72" s="112"/>
      <c r="BG72" s="112"/>
      <c r="BI72" s="112"/>
      <c r="BJ72" s="112"/>
      <c r="BK72" s="112"/>
      <c r="BL72" s="112"/>
      <c r="BM72" s="112"/>
      <c r="BN72" s="112"/>
      <c r="BO72" s="112"/>
      <c r="BP72" s="112"/>
      <c r="BQ72" s="112"/>
      <c r="BR72" s="112"/>
      <c r="BS72" s="112"/>
      <c r="BT72" s="112"/>
      <c r="BU72" s="112"/>
      <c r="BV72" s="112"/>
      <c r="BW72" s="112"/>
      <c r="BX72" s="112"/>
      <c r="BY72" s="112"/>
      <c r="BZ72" s="112"/>
      <c r="CA72" s="112"/>
      <c r="CB72" s="112"/>
      <c r="CC72" s="112"/>
      <c r="CD72" s="112"/>
      <c r="CE72" s="112"/>
      <c r="CF72" s="112"/>
      <c r="CG72" s="112"/>
      <c r="CH72" s="112"/>
      <c r="CI72" s="112"/>
      <c r="CJ72" s="112"/>
      <c r="CK72" s="112"/>
      <c r="CL72" s="112"/>
      <c r="CM72" s="112"/>
    </row>
    <row r="73" spans="1:91" ht="14.75" customHeight="1">
      <c r="A73" s="106" t="s">
        <v>507</v>
      </c>
      <c r="B73" s="112"/>
      <c r="C73" s="112"/>
      <c r="D73" s="112"/>
      <c r="E73" s="112"/>
      <c r="F73" s="112"/>
      <c r="G73" s="112"/>
      <c r="H73" s="112"/>
      <c r="I73" s="112"/>
      <c r="J73" s="112"/>
      <c r="K73" s="112"/>
      <c r="L73" s="112"/>
      <c r="M73" s="112"/>
      <c r="N73" s="112"/>
      <c r="O73" s="112"/>
      <c r="P73" s="112"/>
      <c r="Q73" s="112"/>
      <c r="R73" s="112"/>
      <c r="S73" s="112"/>
      <c r="T73" s="112"/>
      <c r="U73" s="112"/>
      <c r="V73" s="112"/>
      <c r="W73" s="112"/>
      <c r="X73" s="112"/>
      <c r="Y73" s="112"/>
      <c r="Z73" s="112"/>
      <c r="AA73" s="112"/>
      <c r="AB73" s="112"/>
      <c r="AC73" s="112"/>
      <c r="AD73" s="112"/>
      <c r="AE73" s="112"/>
      <c r="AF73" s="112"/>
      <c r="AG73" s="112"/>
      <c r="AH73" s="112"/>
      <c r="AI73" s="112"/>
      <c r="AJ73" s="112"/>
      <c r="AK73" s="112"/>
      <c r="AL73" s="112"/>
      <c r="AM73" s="112"/>
      <c r="AN73" s="112"/>
      <c r="AO73" s="112"/>
      <c r="AP73" s="112"/>
      <c r="AQ73" s="112"/>
      <c r="AR73" s="112"/>
      <c r="AS73" s="112"/>
      <c r="AT73" s="112"/>
      <c r="AU73" s="112"/>
      <c r="AV73" s="112"/>
      <c r="AW73" s="112"/>
      <c r="AX73" s="112"/>
      <c r="AY73" s="112"/>
      <c r="AZ73" s="112"/>
      <c r="BA73" s="112"/>
      <c r="BB73" s="112"/>
      <c r="BC73" s="112"/>
      <c r="BD73" s="112"/>
      <c r="BE73" s="112"/>
      <c r="BF73" s="112"/>
      <c r="BG73" s="112"/>
      <c r="BH73" s="112"/>
      <c r="BI73" s="112"/>
      <c r="BJ73" s="112"/>
      <c r="BK73" s="112"/>
      <c r="BL73" s="112"/>
      <c r="BM73" s="112"/>
      <c r="BN73" s="112"/>
      <c r="BO73" s="112"/>
      <c r="BP73" s="112"/>
      <c r="BQ73" s="112"/>
      <c r="BR73" s="112"/>
      <c r="BS73" s="112"/>
      <c r="BT73" s="112"/>
      <c r="BU73" s="112"/>
      <c r="BV73" s="112"/>
      <c r="BW73" s="112"/>
      <c r="BX73" s="112"/>
      <c r="BY73" s="112"/>
      <c r="BZ73" s="112"/>
      <c r="CA73" s="112"/>
      <c r="CB73" s="112"/>
      <c r="CC73" s="112"/>
      <c r="CD73" s="112"/>
      <c r="CE73" s="112"/>
      <c r="CF73" s="112"/>
      <c r="CG73" s="112"/>
      <c r="CH73" s="112"/>
      <c r="CI73" s="112"/>
      <c r="CJ73" s="112"/>
      <c r="CK73" s="112"/>
      <c r="CL73" s="112"/>
      <c r="CM73" s="112"/>
    </row>
    <row r="74" spans="1:91" ht="14.75" customHeight="1">
      <c r="A74" s="106" t="s">
        <v>508</v>
      </c>
      <c r="B74" s="112"/>
      <c r="C74" s="112"/>
      <c r="D74" s="112"/>
      <c r="E74" s="112"/>
      <c r="F74" s="112"/>
      <c r="G74" s="112"/>
      <c r="H74" s="112"/>
      <c r="I74" s="112"/>
      <c r="J74" s="112"/>
      <c r="K74" s="112"/>
      <c r="L74" s="112"/>
      <c r="M74" s="112"/>
      <c r="N74" s="112"/>
      <c r="O74" s="112"/>
      <c r="P74" s="112"/>
      <c r="Q74" s="112"/>
      <c r="R74" s="112"/>
      <c r="S74" s="112"/>
      <c r="T74" s="112"/>
      <c r="U74" s="112"/>
      <c r="V74" s="112"/>
      <c r="W74" s="112"/>
      <c r="X74" s="112"/>
      <c r="Y74" s="112"/>
      <c r="Z74" s="112"/>
      <c r="AA74" s="112"/>
      <c r="AB74" s="112"/>
      <c r="AC74" s="112"/>
      <c r="AD74" s="112"/>
      <c r="AE74" s="112"/>
      <c r="AF74" s="112"/>
      <c r="AG74" s="112"/>
      <c r="AH74" s="112"/>
      <c r="AI74" s="112"/>
      <c r="AJ74" s="112"/>
      <c r="AK74" s="112"/>
      <c r="AL74" s="112"/>
      <c r="AM74" s="112"/>
      <c r="AN74" s="112"/>
      <c r="AO74" s="112"/>
      <c r="AP74" s="112"/>
      <c r="AQ74" s="112"/>
      <c r="AR74" s="112"/>
      <c r="AS74" s="112"/>
      <c r="AT74" s="112"/>
      <c r="AU74" s="112"/>
      <c r="AV74" s="112"/>
      <c r="AW74" s="112"/>
      <c r="AX74" s="112"/>
      <c r="AY74" s="112"/>
      <c r="AZ74" s="112"/>
      <c r="BA74" s="112"/>
      <c r="BB74" s="112"/>
      <c r="BC74" s="112"/>
      <c r="BD74" s="112"/>
      <c r="BE74" s="112"/>
      <c r="BF74" s="112"/>
      <c r="BG74" s="112"/>
      <c r="BH74" s="112"/>
      <c r="BI74" s="112"/>
      <c r="BJ74" s="112"/>
      <c r="BK74" s="112"/>
      <c r="BL74" s="112"/>
      <c r="BM74" s="112"/>
      <c r="BN74" s="112"/>
      <c r="BO74" s="112"/>
      <c r="BP74" s="112"/>
      <c r="BQ74" s="112"/>
      <c r="BR74" s="112"/>
      <c r="BS74" s="112"/>
      <c r="BT74" s="112"/>
      <c r="BU74" s="112"/>
      <c r="BV74" s="112"/>
      <c r="BW74" s="112"/>
      <c r="BX74" s="112"/>
      <c r="BY74" s="112"/>
      <c r="BZ74" s="112"/>
      <c r="CA74" s="112"/>
      <c r="CB74" s="112"/>
      <c r="CC74" s="112"/>
      <c r="CD74" s="112"/>
      <c r="CE74" s="112"/>
      <c r="CF74" s="112"/>
      <c r="CG74" s="112"/>
      <c r="CH74" s="112"/>
      <c r="CI74" s="112"/>
      <c r="CJ74" s="112"/>
      <c r="CK74" s="112"/>
      <c r="CL74" s="112"/>
      <c r="CM74" s="112"/>
    </row>
    <row r="75" spans="1:91" ht="14.75" customHeight="1">
      <c r="A75" s="106" t="s">
        <v>509</v>
      </c>
      <c r="B75" s="112"/>
      <c r="C75" s="112"/>
      <c r="D75" s="112"/>
      <c r="E75" s="112"/>
      <c r="F75" s="112"/>
      <c r="G75" s="112"/>
      <c r="H75" s="112"/>
      <c r="I75" s="112"/>
      <c r="J75" s="112"/>
      <c r="K75" s="112"/>
      <c r="L75" s="112"/>
      <c r="M75" s="112"/>
      <c r="N75" s="112"/>
      <c r="O75" s="112"/>
      <c r="P75" s="112"/>
      <c r="Q75" s="112"/>
      <c r="R75" s="112"/>
      <c r="S75" s="112"/>
      <c r="T75" s="112"/>
      <c r="U75" s="112"/>
      <c r="V75" s="112"/>
      <c r="W75" s="112"/>
      <c r="X75" s="112"/>
      <c r="Y75" s="112"/>
      <c r="Z75" s="112"/>
      <c r="AA75" s="112"/>
      <c r="AB75" s="112"/>
      <c r="AC75" s="112"/>
      <c r="AD75" s="112"/>
      <c r="AE75" s="112"/>
      <c r="AF75" s="112"/>
      <c r="AG75" s="112"/>
      <c r="AH75" s="112"/>
      <c r="AI75" s="112"/>
      <c r="AJ75" s="112"/>
      <c r="AK75" s="112"/>
      <c r="AL75" s="112"/>
      <c r="AM75" s="112"/>
      <c r="AN75" s="112"/>
      <c r="AO75" s="112"/>
      <c r="AP75" s="112"/>
      <c r="AQ75" s="112"/>
      <c r="AR75" s="112"/>
      <c r="AS75" s="112"/>
      <c r="AT75" s="112"/>
      <c r="AU75" s="112"/>
      <c r="AV75" s="112"/>
      <c r="AW75" s="112"/>
      <c r="AX75" s="112"/>
      <c r="AY75" s="112"/>
      <c r="AZ75" s="112"/>
      <c r="BA75" s="112"/>
      <c r="BB75" s="112"/>
      <c r="BC75" s="112"/>
      <c r="BD75" s="112"/>
      <c r="BE75" s="112"/>
      <c r="BF75" s="112"/>
      <c r="BG75" s="112"/>
      <c r="BH75" s="112"/>
      <c r="BI75" s="112"/>
      <c r="BJ75" s="112"/>
      <c r="BK75" s="112"/>
      <c r="BL75" s="112"/>
      <c r="BM75" s="112"/>
      <c r="BN75" s="112"/>
      <c r="BO75" s="112"/>
      <c r="BP75" s="112"/>
      <c r="BQ75" s="112"/>
      <c r="BR75" s="112"/>
      <c r="BS75" s="112"/>
      <c r="BT75" s="112"/>
      <c r="BU75" s="112"/>
      <c r="BV75" s="112"/>
      <c r="BW75" s="112"/>
      <c r="BX75" s="112"/>
      <c r="BY75" s="112"/>
      <c r="BZ75" s="112"/>
      <c r="CA75" s="112"/>
      <c r="CB75" s="112"/>
      <c r="CC75" s="112"/>
      <c r="CD75" s="112"/>
      <c r="CE75" s="112"/>
      <c r="CF75" s="112"/>
      <c r="CG75" s="112"/>
      <c r="CH75" s="112"/>
      <c r="CI75" s="112"/>
      <c r="CJ75" s="112"/>
      <c r="CK75" s="112"/>
      <c r="CL75" s="112"/>
      <c r="CM75" s="112"/>
    </row>
    <row r="76" spans="1:91" ht="14.75" customHeight="1">
      <c r="A76" s="106" t="s">
        <v>510</v>
      </c>
      <c r="B76" s="112"/>
      <c r="C76" s="112"/>
      <c r="D76" s="112"/>
      <c r="E76" s="112"/>
      <c r="F76" s="112"/>
      <c r="G76" s="112"/>
      <c r="H76" s="112"/>
      <c r="I76" s="112"/>
      <c r="J76" s="112"/>
      <c r="K76" s="112"/>
      <c r="L76" s="112"/>
      <c r="M76" s="112"/>
      <c r="N76" s="112"/>
      <c r="O76" s="112"/>
      <c r="P76" s="112"/>
      <c r="Q76" s="112"/>
      <c r="R76" s="112"/>
      <c r="S76" s="112"/>
      <c r="T76" s="112"/>
      <c r="U76" s="112"/>
      <c r="V76" s="112"/>
      <c r="W76" s="112"/>
      <c r="X76" s="112"/>
      <c r="Y76" s="112"/>
      <c r="Z76" s="112"/>
      <c r="AA76" s="112"/>
      <c r="AB76" s="112"/>
      <c r="AC76" s="112"/>
      <c r="AD76" s="112"/>
      <c r="AE76" s="112"/>
      <c r="AF76" s="112"/>
      <c r="AG76" s="112"/>
      <c r="AH76" s="112"/>
      <c r="AI76" s="112"/>
      <c r="AJ76" s="112"/>
      <c r="AK76" s="112"/>
      <c r="AL76" s="112"/>
      <c r="AM76" s="112"/>
      <c r="AN76" s="112"/>
      <c r="AO76" s="112"/>
      <c r="AP76" s="112"/>
      <c r="AQ76" s="112"/>
      <c r="AR76" s="112"/>
      <c r="AS76" s="112"/>
      <c r="AT76" s="112"/>
      <c r="AU76" s="112"/>
      <c r="AV76" s="112"/>
      <c r="AW76" s="112"/>
      <c r="AX76" s="112"/>
      <c r="AY76" s="112"/>
      <c r="AZ76" s="112"/>
      <c r="BA76" s="112"/>
      <c r="BB76" s="112"/>
      <c r="BC76" s="112"/>
      <c r="BD76" s="112"/>
      <c r="BE76" s="112"/>
      <c r="BF76" s="112"/>
      <c r="BG76" s="112"/>
      <c r="BH76" s="112"/>
      <c r="BI76" s="112"/>
      <c r="BJ76" s="112"/>
      <c r="BK76" s="112"/>
      <c r="BL76" s="112"/>
      <c r="BM76" s="112"/>
      <c r="BN76" s="112"/>
      <c r="BO76" s="112"/>
      <c r="BP76" s="112"/>
      <c r="BQ76" s="112"/>
      <c r="BR76" s="112"/>
      <c r="BS76" s="112"/>
      <c r="BT76" s="112"/>
      <c r="BU76" s="112"/>
      <c r="BV76" s="112"/>
      <c r="BW76" s="112"/>
      <c r="BX76" s="112"/>
      <c r="BY76" s="112"/>
      <c r="BZ76" s="112"/>
      <c r="CA76" s="112"/>
      <c r="CB76" s="112"/>
      <c r="CC76" s="112"/>
      <c r="CD76" s="112"/>
      <c r="CE76" s="112"/>
      <c r="CF76" s="112"/>
      <c r="CG76" s="112"/>
      <c r="CH76" s="112"/>
      <c r="CI76" s="112"/>
      <c r="CJ76" s="112"/>
      <c r="CK76" s="112"/>
      <c r="CL76" s="112"/>
      <c r="CM76" s="112"/>
    </row>
    <row r="77" spans="1:91">
      <c r="B77" s="112"/>
      <c r="C77" s="112"/>
      <c r="D77" s="112"/>
      <c r="E77" s="112"/>
      <c r="F77" s="112"/>
      <c r="G77" s="112"/>
      <c r="H77" s="112"/>
      <c r="I77" s="112"/>
      <c r="J77" s="112"/>
      <c r="K77" s="112"/>
      <c r="L77" s="112"/>
      <c r="M77" s="112"/>
      <c r="N77" s="112"/>
      <c r="O77" s="112"/>
      <c r="P77" s="112"/>
      <c r="Q77" s="112"/>
      <c r="R77" s="112"/>
      <c r="S77" s="112"/>
      <c r="T77" s="112"/>
      <c r="U77" s="112"/>
      <c r="V77" s="112"/>
      <c r="W77" s="112"/>
      <c r="X77" s="112"/>
      <c r="Y77" s="112"/>
      <c r="Z77" s="112"/>
      <c r="AA77" s="112"/>
      <c r="AB77" s="112"/>
      <c r="AC77" s="112"/>
      <c r="AD77" s="112"/>
      <c r="AE77" s="112"/>
      <c r="AF77" s="112"/>
      <c r="AG77" s="112"/>
      <c r="AH77" s="112"/>
      <c r="AI77" s="112"/>
      <c r="AJ77" s="112"/>
      <c r="AK77" s="112"/>
      <c r="AL77" s="112"/>
      <c r="AM77" s="112"/>
      <c r="AN77" s="112"/>
      <c r="AO77" s="112"/>
      <c r="AP77" s="112"/>
      <c r="AQ77" s="112"/>
      <c r="AR77" s="112"/>
      <c r="AS77" s="112"/>
      <c r="AT77" s="112"/>
      <c r="AU77" s="112"/>
      <c r="AV77" s="112"/>
      <c r="AW77" s="112"/>
      <c r="AX77" s="112"/>
      <c r="AY77" s="112"/>
      <c r="AZ77" s="112"/>
      <c r="BA77" s="112"/>
      <c r="BB77" s="112"/>
      <c r="BC77" s="112"/>
      <c r="BD77" s="112"/>
      <c r="BE77" s="112"/>
      <c r="BF77" s="112"/>
      <c r="BG77" s="112"/>
      <c r="BH77" s="112"/>
      <c r="BI77" s="112"/>
      <c r="BJ77" s="112"/>
      <c r="BK77" s="112"/>
      <c r="BL77" s="112"/>
      <c r="BM77" s="112"/>
      <c r="BN77" s="112"/>
      <c r="BO77" s="112"/>
      <c r="BP77" s="112"/>
      <c r="BQ77" s="112"/>
      <c r="BR77" s="112"/>
      <c r="BS77" s="112"/>
      <c r="BT77" s="112"/>
      <c r="BU77" s="112"/>
      <c r="BV77" s="112"/>
      <c r="BW77" s="112"/>
      <c r="BX77" s="112"/>
      <c r="BY77" s="112"/>
      <c r="BZ77" s="112"/>
      <c r="CA77" s="112"/>
      <c r="CB77" s="112"/>
      <c r="CC77" s="112"/>
      <c r="CD77" s="112"/>
      <c r="CE77" s="112"/>
      <c r="CF77" s="112"/>
      <c r="CG77" s="112"/>
      <c r="CH77" s="112"/>
      <c r="CI77" s="112"/>
      <c r="CJ77" s="112"/>
      <c r="CK77" s="112"/>
      <c r="CL77" s="112"/>
      <c r="CM77" s="112"/>
    </row>
    <row r="78" spans="1:91" ht="14.75" customHeight="1">
      <c r="A78" s="106" t="s">
        <v>511</v>
      </c>
      <c r="B78" s="112"/>
      <c r="C78" s="112"/>
      <c r="D78" s="112"/>
      <c r="E78" s="112"/>
      <c r="F78" s="112"/>
      <c r="G78" s="112"/>
      <c r="H78" s="112"/>
      <c r="I78" s="112"/>
      <c r="J78" s="112"/>
      <c r="K78" s="112"/>
      <c r="L78" s="112"/>
      <c r="M78" s="112"/>
      <c r="N78" s="112"/>
      <c r="O78" s="112"/>
      <c r="P78" s="112"/>
      <c r="Q78" s="112"/>
      <c r="R78" s="112"/>
      <c r="S78" s="112"/>
      <c r="T78" s="112"/>
      <c r="U78" s="112"/>
      <c r="V78" s="112"/>
      <c r="W78" s="112"/>
      <c r="X78" s="112"/>
      <c r="Y78" s="112"/>
      <c r="Z78" s="112"/>
      <c r="AA78" s="112"/>
      <c r="AB78" s="112"/>
      <c r="AC78" s="112"/>
      <c r="AD78" s="112"/>
      <c r="AE78" s="112"/>
      <c r="AF78" s="112"/>
      <c r="AG78" s="112"/>
      <c r="AH78" s="112"/>
      <c r="AI78" s="112"/>
      <c r="AJ78" s="112"/>
      <c r="AK78" s="112"/>
      <c r="AL78" s="112"/>
      <c r="AM78" s="112"/>
      <c r="AN78" s="112"/>
      <c r="AO78" s="112"/>
      <c r="AP78" s="112"/>
      <c r="AQ78" s="112"/>
      <c r="AR78" s="112"/>
      <c r="AS78" s="112"/>
      <c r="AT78" s="112"/>
      <c r="AU78" s="112"/>
      <c r="AV78" s="112"/>
      <c r="AW78" s="112"/>
      <c r="AX78" s="112"/>
      <c r="AY78" s="112"/>
      <c r="AZ78" s="112"/>
      <c r="BA78" s="112"/>
      <c r="BB78" s="112"/>
      <c r="BC78" s="112"/>
      <c r="BD78" s="112"/>
      <c r="BE78" s="112"/>
      <c r="BF78" s="112"/>
      <c r="BG78" s="112"/>
      <c r="BH78" s="112"/>
      <c r="BI78" s="112"/>
      <c r="BJ78" s="112"/>
      <c r="BK78" s="112"/>
      <c r="BL78" s="112"/>
      <c r="BM78" s="112"/>
      <c r="BN78" s="112"/>
      <c r="BO78" s="112"/>
      <c r="BP78" s="112"/>
      <c r="BQ78" s="112"/>
      <c r="BR78" s="112"/>
      <c r="BS78" s="112"/>
      <c r="BT78" s="112"/>
      <c r="BU78" s="112"/>
      <c r="BV78" s="112"/>
      <c r="BW78" s="112"/>
      <c r="BX78" s="112"/>
      <c r="BY78" s="112"/>
      <c r="BZ78" s="112"/>
      <c r="CA78" s="112"/>
      <c r="CB78" s="112"/>
      <c r="CC78" s="112"/>
      <c r="CD78" s="112"/>
      <c r="CE78" s="112"/>
      <c r="CF78" s="112"/>
      <c r="CG78" s="112"/>
      <c r="CH78" s="112"/>
      <c r="CI78" s="112"/>
      <c r="CJ78" s="112"/>
      <c r="CK78" s="112"/>
      <c r="CL78" s="112"/>
      <c r="CM78" s="112"/>
    </row>
    <row r="79" spans="1:91" ht="14.75" customHeight="1">
      <c r="A79" s="106" t="s">
        <v>512</v>
      </c>
      <c r="B79" s="112"/>
      <c r="C79" s="112"/>
      <c r="D79" s="112"/>
      <c r="E79" s="112"/>
      <c r="F79" s="112"/>
      <c r="G79" s="112"/>
      <c r="H79" s="112"/>
      <c r="I79" s="112"/>
      <c r="J79" s="112"/>
      <c r="K79" s="112"/>
      <c r="L79" s="112"/>
      <c r="M79" s="112"/>
      <c r="N79" s="112"/>
      <c r="O79" s="112"/>
      <c r="P79" s="112"/>
      <c r="Q79" s="112"/>
      <c r="R79" s="112"/>
      <c r="S79" s="112"/>
      <c r="T79" s="112"/>
      <c r="U79" s="112"/>
      <c r="V79" s="112"/>
      <c r="W79" s="112"/>
      <c r="X79" s="112"/>
      <c r="Y79" s="112"/>
      <c r="Z79" s="112"/>
      <c r="AA79" s="112"/>
      <c r="AB79" s="112"/>
      <c r="AC79" s="112"/>
      <c r="AD79" s="112"/>
      <c r="AE79" s="112"/>
      <c r="AF79" s="112"/>
      <c r="AG79" s="112"/>
      <c r="AH79" s="112"/>
      <c r="AI79" s="112"/>
      <c r="AJ79" s="112"/>
      <c r="AK79" s="112"/>
      <c r="AL79" s="112"/>
      <c r="AM79" s="112"/>
      <c r="AN79" s="112"/>
      <c r="AO79" s="112"/>
      <c r="AP79" s="112"/>
      <c r="AQ79" s="112"/>
      <c r="AR79" s="112"/>
      <c r="AS79" s="112"/>
      <c r="AT79" s="112"/>
      <c r="AU79" s="112"/>
      <c r="AV79" s="112"/>
      <c r="AW79" s="112"/>
      <c r="AX79" s="112"/>
      <c r="AY79" s="112"/>
      <c r="AZ79" s="112"/>
      <c r="BA79" s="112"/>
      <c r="BB79" s="112"/>
      <c r="BC79" s="112"/>
      <c r="BD79" s="112"/>
      <c r="BE79" s="112"/>
      <c r="BF79" s="112"/>
      <c r="BG79" s="112"/>
      <c r="BH79" s="112"/>
      <c r="BI79" s="112"/>
      <c r="BJ79" s="112"/>
      <c r="BK79" s="112"/>
      <c r="BL79" s="112"/>
      <c r="BM79" s="112"/>
      <c r="BN79" s="112"/>
      <c r="BO79" s="112"/>
      <c r="BP79" s="112"/>
      <c r="BQ79" s="112"/>
      <c r="BR79" s="112"/>
      <c r="BS79" s="112"/>
      <c r="BT79" s="112"/>
      <c r="BU79" s="112"/>
      <c r="BV79" s="112"/>
      <c r="BW79" s="112"/>
      <c r="BX79" s="112"/>
      <c r="BY79" s="112"/>
      <c r="BZ79" s="112"/>
      <c r="CA79" s="112"/>
      <c r="CB79" s="112"/>
      <c r="CC79" s="112"/>
      <c r="CD79" s="112"/>
      <c r="CE79" s="112"/>
      <c r="CF79" s="112"/>
      <c r="CG79" s="112"/>
      <c r="CH79" s="112"/>
      <c r="CI79" s="112"/>
      <c r="CJ79" s="112"/>
      <c r="CK79" s="112"/>
      <c r="CL79" s="112"/>
      <c r="CM79" s="112"/>
    </row>
    <row r="80" spans="1:91" ht="14.75" customHeight="1">
      <c r="A80" s="106" t="s">
        <v>513</v>
      </c>
      <c r="B80" s="112"/>
      <c r="C80" s="112"/>
      <c r="D80" s="112"/>
      <c r="E80" s="112"/>
      <c r="F80" s="112"/>
      <c r="G80" s="112"/>
      <c r="H80" s="112"/>
      <c r="I80" s="112"/>
      <c r="J80" s="112"/>
      <c r="K80" s="112"/>
      <c r="L80" s="112"/>
      <c r="M80" s="112"/>
      <c r="N80" s="112"/>
      <c r="O80" s="112"/>
      <c r="P80" s="112"/>
      <c r="Q80" s="112"/>
      <c r="R80" s="112"/>
      <c r="S80" s="112"/>
      <c r="T80" s="112"/>
      <c r="U80" s="112"/>
      <c r="V80" s="112"/>
      <c r="W80" s="112"/>
      <c r="X80" s="112"/>
      <c r="Y80" s="112"/>
      <c r="Z80" s="112"/>
      <c r="AA80" s="112"/>
      <c r="AB80" s="112"/>
      <c r="AC80" s="112"/>
      <c r="AD80" s="112"/>
      <c r="AE80" s="112"/>
      <c r="AF80" s="112"/>
      <c r="AG80" s="112"/>
      <c r="AH80" s="112"/>
      <c r="AI80" s="112"/>
      <c r="AJ80" s="112"/>
      <c r="AK80" s="112"/>
      <c r="AL80" s="112"/>
      <c r="AM80" s="112"/>
      <c r="AN80" s="112"/>
      <c r="AO80" s="112"/>
      <c r="AP80" s="112"/>
      <c r="AQ80" s="112"/>
      <c r="AR80" s="112"/>
      <c r="AS80" s="112"/>
      <c r="AT80" s="112"/>
      <c r="AU80" s="112"/>
      <c r="AV80" s="112"/>
      <c r="AW80" s="112"/>
      <c r="AX80" s="112"/>
      <c r="AY80" s="112"/>
      <c r="AZ80" s="112"/>
      <c r="BA80" s="112"/>
      <c r="BB80" s="112"/>
      <c r="BC80" s="112"/>
      <c r="BD80" s="112"/>
      <c r="BE80" s="112"/>
      <c r="BF80" s="112"/>
      <c r="BG80" s="112"/>
      <c r="BH80" s="112"/>
      <c r="BI80" s="112"/>
      <c r="BJ80" s="112"/>
      <c r="BK80" s="112"/>
      <c r="BL80" s="112"/>
      <c r="BM80" s="112"/>
      <c r="BN80" s="112"/>
      <c r="BO80" s="112"/>
      <c r="BP80" s="112"/>
      <c r="BQ80" s="112"/>
      <c r="BR80" s="112"/>
      <c r="BS80" s="112"/>
      <c r="BT80" s="112"/>
      <c r="BU80" s="112"/>
      <c r="BV80" s="112"/>
      <c r="BW80" s="112"/>
      <c r="BX80" s="112"/>
      <c r="BY80" s="112"/>
      <c r="BZ80" s="112"/>
      <c r="CA80" s="112"/>
      <c r="CB80" s="112"/>
      <c r="CC80" s="112"/>
      <c r="CD80" s="112"/>
      <c r="CE80" s="112"/>
      <c r="CF80" s="112"/>
      <c r="CG80" s="112"/>
      <c r="CH80" s="112"/>
      <c r="CI80" s="112"/>
      <c r="CJ80" s="112"/>
      <c r="CK80" s="112"/>
      <c r="CL80" s="112"/>
      <c r="CM80" s="112"/>
    </row>
    <row r="81" spans="1:91" ht="14.75" customHeight="1">
      <c r="A81" s="106" t="s">
        <v>514</v>
      </c>
      <c r="B81" s="112"/>
      <c r="C81" s="112"/>
      <c r="D81" s="112"/>
      <c r="E81" s="112"/>
      <c r="F81" s="112"/>
      <c r="G81" s="112"/>
      <c r="H81" s="112"/>
      <c r="I81" s="112"/>
      <c r="J81" s="112"/>
      <c r="K81" s="112"/>
      <c r="L81" s="112"/>
      <c r="M81" s="112"/>
      <c r="N81" s="112"/>
      <c r="O81" s="112"/>
      <c r="P81" s="112"/>
      <c r="Q81" s="112"/>
      <c r="R81" s="112"/>
      <c r="S81" s="112"/>
      <c r="T81" s="112"/>
      <c r="U81" s="112"/>
      <c r="V81" s="112"/>
      <c r="W81" s="112"/>
      <c r="X81" s="112"/>
      <c r="Y81" s="112"/>
      <c r="Z81" s="112"/>
      <c r="AA81" s="112"/>
      <c r="AB81" s="112"/>
      <c r="AC81" s="112"/>
      <c r="AD81" s="112"/>
      <c r="AE81" s="112"/>
      <c r="AF81" s="112"/>
      <c r="AG81" s="112"/>
      <c r="AH81" s="112"/>
      <c r="AI81" s="112"/>
      <c r="AJ81" s="112"/>
      <c r="AK81" s="112"/>
      <c r="AL81" s="112"/>
      <c r="AM81" s="112"/>
      <c r="AN81" s="112"/>
      <c r="AO81" s="112"/>
      <c r="AP81" s="112"/>
      <c r="AQ81" s="112"/>
      <c r="AR81" s="112"/>
      <c r="AS81" s="112"/>
      <c r="AT81" s="112"/>
      <c r="AU81" s="112"/>
      <c r="AV81" s="112"/>
      <c r="AW81" s="112"/>
      <c r="AX81" s="112"/>
      <c r="AY81" s="112"/>
      <c r="AZ81" s="112"/>
      <c r="BA81" s="112"/>
      <c r="BB81" s="112"/>
      <c r="BC81" s="112"/>
      <c r="BD81" s="112"/>
      <c r="BE81" s="112"/>
      <c r="BF81" s="112"/>
      <c r="BG81" s="112"/>
      <c r="BH81" s="112"/>
      <c r="BI81" s="112"/>
      <c r="BJ81" s="112"/>
      <c r="BK81" s="112"/>
      <c r="BL81" s="112"/>
      <c r="BM81" s="112"/>
      <c r="BN81" s="112"/>
      <c r="BO81" s="112"/>
      <c r="BP81" s="112"/>
      <c r="BQ81" s="112"/>
      <c r="BR81" s="112"/>
      <c r="BS81" s="112"/>
      <c r="BT81" s="112"/>
      <c r="BU81" s="112"/>
      <c r="BV81" s="112"/>
      <c r="BW81" s="112"/>
      <c r="BX81" s="112"/>
      <c r="BY81" s="112"/>
      <c r="BZ81" s="112"/>
      <c r="CA81" s="112"/>
      <c r="CB81" s="112"/>
      <c r="CC81" s="112"/>
      <c r="CD81" s="112"/>
      <c r="CE81" s="112"/>
      <c r="CF81" s="112"/>
      <c r="CG81" s="112"/>
      <c r="CH81" s="112"/>
      <c r="CI81" s="112"/>
      <c r="CJ81" s="112"/>
      <c r="CK81" s="112"/>
      <c r="CL81" s="112"/>
      <c r="CM81" s="112"/>
    </row>
    <row r="82" spans="1:91" ht="14.75" customHeight="1">
      <c r="A82" s="106" t="s">
        <v>515</v>
      </c>
      <c r="B82" s="112"/>
      <c r="C82" s="112"/>
      <c r="D82" s="112"/>
      <c r="E82" s="112"/>
      <c r="F82" s="112"/>
      <c r="G82" s="112"/>
      <c r="H82" s="112"/>
      <c r="I82" s="112"/>
      <c r="J82" s="112"/>
      <c r="K82" s="112"/>
      <c r="L82" s="112"/>
      <c r="M82" s="112"/>
      <c r="N82" s="112"/>
      <c r="O82" s="112"/>
      <c r="P82" s="112"/>
      <c r="Q82" s="112"/>
      <c r="R82" s="112"/>
      <c r="S82" s="112"/>
      <c r="T82" s="112"/>
      <c r="U82" s="112"/>
      <c r="V82" s="112"/>
      <c r="W82" s="112"/>
      <c r="X82" s="112"/>
      <c r="Y82" s="112"/>
      <c r="Z82" s="112"/>
      <c r="AA82" s="112"/>
      <c r="AB82" s="112"/>
      <c r="AC82" s="112"/>
      <c r="AD82" s="112"/>
      <c r="AE82" s="112"/>
      <c r="AF82" s="112"/>
      <c r="AG82" s="112"/>
      <c r="AH82" s="112"/>
      <c r="AI82" s="112"/>
      <c r="AJ82" s="112"/>
      <c r="AK82" s="112"/>
      <c r="AL82" s="112"/>
      <c r="AM82" s="112"/>
      <c r="AN82" s="112"/>
      <c r="AO82" s="112"/>
      <c r="AP82" s="112"/>
      <c r="AQ82" s="112"/>
      <c r="AR82" s="112"/>
      <c r="AS82" s="112"/>
      <c r="AT82" s="112"/>
      <c r="AU82" s="112"/>
      <c r="AV82" s="112"/>
      <c r="AW82" s="112"/>
      <c r="AX82" s="112"/>
      <c r="AY82" s="112"/>
      <c r="AZ82" s="112"/>
      <c r="BA82" s="112"/>
      <c r="BB82" s="112"/>
      <c r="BC82" s="112"/>
      <c r="BD82" s="112"/>
      <c r="BE82" s="112"/>
      <c r="BF82" s="112"/>
      <c r="BG82" s="112"/>
      <c r="BH82" s="112"/>
      <c r="BI82" s="112"/>
      <c r="BJ82" s="112"/>
      <c r="BK82" s="112"/>
      <c r="BL82" s="112"/>
      <c r="BM82" s="112"/>
      <c r="BN82" s="112"/>
      <c r="BO82" s="112"/>
      <c r="BP82" s="112"/>
      <c r="BQ82" s="112"/>
      <c r="BR82" s="112"/>
      <c r="BS82" s="112"/>
      <c r="BT82" s="112"/>
      <c r="BU82" s="112"/>
      <c r="BV82" s="112"/>
      <c r="BW82" s="112"/>
      <c r="BX82" s="112"/>
      <c r="BY82" s="112"/>
      <c r="BZ82" s="112"/>
      <c r="CA82" s="112"/>
      <c r="CB82" s="112"/>
      <c r="CC82" s="112"/>
      <c r="CD82" s="112"/>
      <c r="CE82" s="112"/>
      <c r="CF82" s="112"/>
      <c r="CG82" s="112"/>
      <c r="CH82" s="112"/>
      <c r="CI82" s="112"/>
      <c r="CJ82" s="112"/>
      <c r="CK82" s="112"/>
      <c r="CL82" s="112"/>
      <c r="CM82" s="112"/>
    </row>
    <row r="83" spans="1:91" ht="14.75" customHeight="1">
      <c r="A83" s="106" t="s">
        <v>516</v>
      </c>
      <c r="B83" s="112"/>
      <c r="C83" s="112"/>
      <c r="D83" s="112"/>
      <c r="E83" s="112"/>
      <c r="F83" s="112"/>
      <c r="G83" s="112"/>
      <c r="H83" s="112"/>
      <c r="I83" s="112"/>
      <c r="J83" s="112"/>
      <c r="K83" s="112"/>
      <c r="L83" s="112"/>
      <c r="M83" s="112"/>
      <c r="N83" s="112"/>
      <c r="O83" s="112"/>
      <c r="P83" s="112"/>
      <c r="Q83" s="112"/>
      <c r="R83" s="112"/>
      <c r="S83" s="112"/>
      <c r="T83" s="112"/>
      <c r="U83" s="112"/>
      <c r="V83" s="112"/>
      <c r="W83" s="112"/>
      <c r="X83" s="112"/>
      <c r="Y83" s="112"/>
      <c r="Z83" s="112"/>
      <c r="AA83" s="112"/>
      <c r="AB83" s="112"/>
      <c r="AC83" s="112"/>
      <c r="AD83" s="112"/>
      <c r="AE83" s="112"/>
      <c r="AF83" s="112"/>
      <c r="AG83" s="112"/>
      <c r="AH83" s="112"/>
      <c r="AI83" s="112"/>
      <c r="AJ83" s="112"/>
      <c r="AK83" s="112"/>
      <c r="AL83" s="112"/>
      <c r="AM83" s="112"/>
      <c r="AN83" s="112"/>
      <c r="AO83" s="112"/>
      <c r="AP83" s="112"/>
      <c r="AQ83" s="112"/>
      <c r="AR83" s="112"/>
      <c r="AS83" s="112"/>
      <c r="AT83" s="112"/>
      <c r="AU83" s="112"/>
      <c r="AV83" s="112"/>
      <c r="AW83" s="112"/>
      <c r="AX83" s="112"/>
      <c r="AY83" s="112"/>
      <c r="AZ83" s="112"/>
      <c r="BA83" s="112"/>
      <c r="BB83" s="112"/>
      <c r="BC83" s="112"/>
      <c r="BD83" s="112"/>
      <c r="BE83" s="112"/>
      <c r="BF83" s="112"/>
      <c r="BG83" s="112"/>
      <c r="BH83" s="112"/>
      <c r="BI83" s="112"/>
      <c r="BJ83" s="112"/>
      <c r="BK83" s="112"/>
      <c r="BL83" s="112"/>
      <c r="BM83" s="112"/>
      <c r="BN83" s="112"/>
      <c r="BO83" s="112"/>
      <c r="BP83" s="112"/>
      <c r="BQ83" s="112"/>
      <c r="BR83" s="112"/>
      <c r="BS83" s="112"/>
      <c r="BT83" s="112"/>
      <c r="BU83" s="112"/>
      <c r="BV83" s="112"/>
      <c r="BW83" s="112"/>
      <c r="BX83" s="112"/>
      <c r="BY83" s="112"/>
      <c r="BZ83" s="112"/>
      <c r="CA83" s="112"/>
      <c r="CB83" s="112"/>
      <c r="CC83" s="112"/>
      <c r="CD83" s="112"/>
      <c r="CE83" s="112"/>
      <c r="CF83" s="112"/>
      <c r="CG83" s="112"/>
      <c r="CH83" s="112"/>
      <c r="CI83" s="112"/>
      <c r="CJ83" s="112"/>
      <c r="CK83" s="112"/>
      <c r="CL83" s="112"/>
      <c r="CM83" s="112"/>
    </row>
    <row r="84" spans="1:91" ht="14.75" customHeight="1">
      <c r="A84" s="106" t="s">
        <v>517</v>
      </c>
      <c r="B84" s="112"/>
      <c r="C84" s="112"/>
      <c r="D84" s="112"/>
      <c r="E84" s="112"/>
      <c r="F84" s="112"/>
      <c r="G84" s="112"/>
      <c r="H84" s="112"/>
      <c r="I84" s="112"/>
      <c r="J84" s="112"/>
      <c r="K84" s="112"/>
      <c r="L84" s="112"/>
      <c r="M84" s="112"/>
      <c r="N84" s="112"/>
      <c r="O84" s="112"/>
      <c r="P84" s="112"/>
      <c r="Q84" s="112"/>
      <c r="R84" s="112"/>
      <c r="S84" s="112"/>
      <c r="T84" s="112"/>
      <c r="U84" s="112"/>
      <c r="V84" s="112"/>
      <c r="W84" s="112"/>
      <c r="X84" s="112"/>
      <c r="Y84" s="112"/>
      <c r="Z84" s="112"/>
      <c r="AA84" s="112"/>
      <c r="AB84" s="112"/>
      <c r="AC84" s="112"/>
      <c r="AD84" s="112"/>
      <c r="AE84" s="112"/>
      <c r="AF84" s="112"/>
      <c r="AG84" s="112"/>
      <c r="AH84" s="112"/>
      <c r="AI84" s="112"/>
      <c r="AJ84" s="112"/>
      <c r="AK84" s="112"/>
      <c r="AL84" s="112"/>
      <c r="AM84" s="112"/>
      <c r="AN84" s="112"/>
      <c r="AO84" s="112"/>
      <c r="AP84" s="112"/>
      <c r="AQ84" s="112"/>
      <c r="AR84" s="112"/>
      <c r="AS84" s="112"/>
      <c r="AT84" s="112"/>
      <c r="AU84" s="112"/>
      <c r="AV84" s="112"/>
      <c r="AW84" s="112"/>
      <c r="AX84" s="112"/>
      <c r="AY84" s="112"/>
      <c r="AZ84" s="112"/>
      <c r="BA84" s="112"/>
      <c r="BB84" s="112"/>
      <c r="BC84" s="112"/>
      <c r="BD84" s="112"/>
      <c r="BE84" s="112"/>
      <c r="BF84" s="112"/>
      <c r="BG84" s="112"/>
      <c r="BH84" s="112"/>
      <c r="BI84" s="112"/>
      <c r="BJ84" s="112"/>
      <c r="BK84" s="112"/>
      <c r="BL84" s="112"/>
      <c r="BM84" s="112"/>
      <c r="BN84" s="112"/>
      <c r="BO84" s="112"/>
      <c r="BP84" s="112"/>
      <c r="BQ84" s="112"/>
      <c r="BR84" s="112"/>
      <c r="BS84" s="112"/>
      <c r="BT84" s="112"/>
      <c r="BU84" s="112"/>
      <c r="BV84" s="112"/>
      <c r="BW84" s="112"/>
      <c r="BX84" s="112"/>
      <c r="BY84" s="112"/>
      <c r="BZ84" s="112"/>
      <c r="CA84" s="112"/>
      <c r="CB84" s="112"/>
      <c r="CC84" s="112"/>
      <c r="CD84" s="112"/>
      <c r="CE84" s="112"/>
      <c r="CF84" s="112"/>
      <c r="CG84" s="112"/>
      <c r="CH84" s="112"/>
      <c r="CI84" s="112"/>
      <c r="CJ84" s="112"/>
      <c r="CK84" s="112"/>
      <c r="CL84" s="112"/>
      <c r="CM84" s="112"/>
    </row>
    <row r="85" spans="1:91">
      <c r="B85" s="112"/>
      <c r="C85" s="112"/>
      <c r="D85" s="112"/>
      <c r="E85" s="112"/>
      <c r="F85" s="112"/>
      <c r="G85" s="112"/>
      <c r="H85" s="112"/>
      <c r="I85" s="112"/>
      <c r="J85" s="112"/>
      <c r="K85" s="112"/>
      <c r="M85" s="112"/>
      <c r="N85" s="112"/>
      <c r="O85" s="112"/>
      <c r="P85" s="112"/>
      <c r="Q85" s="112"/>
      <c r="R85" s="112"/>
      <c r="S85" s="112"/>
      <c r="T85" s="112"/>
      <c r="U85" s="112"/>
      <c r="V85" s="112"/>
      <c r="W85" s="112"/>
      <c r="X85" s="112"/>
      <c r="Y85" s="112"/>
      <c r="Z85" s="112"/>
      <c r="AA85" s="112"/>
      <c r="AB85" s="112"/>
      <c r="AC85" s="112"/>
      <c r="AD85" s="112"/>
      <c r="AE85" s="112"/>
      <c r="AF85" s="112"/>
      <c r="AG85" s="112"/>
      <c r="AH85" s="112"/>
      <c r="AI85" s="112"/>
      <c r="AJ85" s="112"/>
      <c r="AK85" s="112"/>
      <c r="AL85" s="112"/>
      <c r="AM85" s="112"/>
      <c r="AN85" s="112"/>
      <c r="AO85" s="112"/>
      <c r="AP85" s="112"/>
      <c r="AQ85" s="112"/>
      <c r="AR85" s="112"/>
      <c r="AS85" s="112"/>
      <c r="AT85" s="112"/>
      <c r="AU85" s="112"/>
      <c r="AV85" s="112"/>
      <c r="AW85" s="112"/>
      <c r="AX85" s="112"/>
      <c r="AY85" s="112"/>
      <c r="AZ85" s="112"/>
      <c r="BA85" s="112"/>
      <c r="BB85" s="112"/>
      <c r="BC85" s="112"/>
      <c r="BD85" s="112"/>
      <c r="BE85" s="112"/>
      <c r="BF85" s="112"/>
      <c r="BG85" s="112"/>
      <c r="BH85" s="112"/>
      <c r="BI85" s="112"/>
      <c r="BJ85" s="112"/>
      <c r="BK85" s="112"/>
      <c r="BL85" s="112"/>
      <c r="BM85" s="112"/>
      <c r="BN85" s="112"/>
      <c r="BO85" s="112"/>
      <c r="BP85" s="112"/>
      <c r="BQ85" s="112"/>
      <c r="BR85" s="112"/>
      <c r="BS85" s="112"/>
      <c r="BT85" s="112"/>
      <c r="BU85" s="112"/>
      <c r="BV85" s="112"/>
      <c r="BW85" s="112"/>
      <c r="BX85" s="112"/>
      <c r="BY85" s="112"/>
      <c r="BZ85" s="112"/>
      <c r="CA85" s="112"/>
      <c r="CB85" s="112"/>
      <c r="CC85" s="112"/>
      <c r="CD85" s="112"/>
      <c r="CE85" s="112"/>
      <c r="CF85" s="112"/>
      <c r="CG85" s="112"/>
      <c r="CH85" s="112"/>
      <c r="CI85" s="112"/>
      <c r="CJ85" s="112"/>
      <c r="CK85" s="112"/>
      <c r="CL85" s="112"/>
      <c r="CM85" s="112"/>
    </row>
    <row r="86" spans="1:91" ht="14.75" customHeight="1">
      <c r="A86" s="106" t="s">
        <v>518</v>
      </c>
      <c r="B86" s="112"/>
      <c r="C86" s="112"/>
      <c r="D86" s="112"/>
      <c r="E86" s="112"/>
      <c r="F86" s="112"/>
      <c r="G86" s="112"/>
      <c r="I86" s="112"/>
      <c r="J86" s="112"/>
      <c r="K86" s="112"/>
      <c r="L86" s="112"/>
      <c r="M86" s="112"/>
      <c r="N86" s="112"/>
      <c r="O86" s="112"/>
      <c r="P86" s="112"/>
      <c r="Q86" s="112"/>
      <c r="R86" s="112"/>
      <c r="S86" s="112"/>
      <c r="T86" s="112"/>
      <c r="U86" s="112"/>
      <c r="V86" s="112"/>
      <c r="W86" s="112"/>
      <c r="X86" s="112"/>
      <c r="Y86" s="112"/>
      <c r="Z86" s="112"/>
      <c r="AA86" s="112"/>
      <c r="AB86" s="112"/>
      <c r="AC86" s="112"/>
      <c r="AD86" s="112"/>
      <c r="AE86" s="112"/>
      <c r="AF86" s="112"/>
      <c r="AG86" s="112"/>
      <c r="AH86" s="112"/>
      <c r="AI86" s="112"/>
      <c r="AJ86" s="112"/>
      <c r="AK86" s="112"/>
      <c r="AL86" s="112"/>
      <c r="AM86" s="112"/>
      <c r="AN86" s="112"/>
      <c r="AO86" s="112"/>
      <c r="AP86" s="112"/>
      <c r="AQ86" s="112"/>
      <c r="AR86" s="112"/>
      <c r="AS86" s="112"/>
      <c r="AT86" s="112"/>
      <c r="AU86" s="112"/>
      <c r="AV86" s="112"/>
      <c r="AW86" s="112"/>
      <c r="AX86" s="112"/>
      <c r="AY86" s="112"/>
      <c r="AZ86" s="112"/>
      <c r="BA86" s="112"/>
      <c r="BB86" s="112"/>
      <c r="BC86" s="112"/>
      <c r="BD86" s="112"/>
      <c r="BE86" s="112"/>
      <c r="BF86" s="112"/>
      <c r="BG86" s="112"/>
      <c r="BH86" s="112"/>
      <c r="BI86" s="112"/>
      <c r="BJ86" s="112"/>
      <c r="BK86" s="112"/>
      <c r="BL86" s="112"/>
      <c r="BM86" s="112"/>
      <c r="BN86" s="112"/>
      <c r="BO86" s="112"/>
      <c r="BP86" s="112"/>
      <c r="BQ86" s="112"/>
      <c r="BR86" s="112"/>
      <c r="BS86" s="112"/>
      <c r="BT86" s="112"/>
      <c r="BU86" s="112"/>
      <c r="BV86" s="112"/>
      <c r="BW86" s="112"/>
      <c r="BX86" s="112"/>
      <c r="BY86" s="112"/>
      <c r="BZ86" s="112"/>
      <c r="CA86" s="112"/>
      <c r="CB86" s="112"/>
      <c r="CC86" s="112"/>
      <c r="CD86" s="112"/>
      <c r="CE86" s="112"/>
      <c r="CF86" s="112"/>
      <c r="CG86" s="112"/>
      <c r="CH86" s="112"/>
      <c r="CI86" s="112"/>
      <c r="CJ86" s="112"/>
      <c r="CK86" s="112"/>
      <c r="CL86" s="112"/>
      <c r="CM86" s="112"/>
    </row>
    <row r="87" spans="1:91" ht="14" customHeight="1">
      <c r="B87" s="112"/>
      <c r="C87" s="112"/>
      <c r="D87" s="112"/>
      <c r="E87" s="112"/>
      <c r="F87" s="112"/>
      <c r="G87" s="112"/>
      <c r="H87" s="112"/>
      <c r="I87" s="112"/>
      <c r="J87" s="112"/>
      <c r="K87" s="112"/>
      <c r="L87" s="112"/>
      <c r="M87" s="112"/>
      <c r="N87" s="112"/>
      <c r="O87" s="112"/>
      <c r="P87" s="112"/>
      <c r="Q87" s="112"/>
      <c r="R87" s="112"/>
      <c r="S87" s="112"/>
      <c r="T87" s="112"/>
      <c r="U87" s="112"/>
      <c r="V87" s="112"/>
      <c r="W87" s="112"/>
      <c r="X87" s="112"/>
      <c r="Y87" s="112"/>
      <c r="Z87" s="112"/>
      <c r="AA87" s="112"/>
      <c r="AB87" s="112"/>
      <c r="AC87" s="112"/>
      <c r="AD87" s="112"/>
      <c r="AE87" s="112"/>
      <c r="AF87" s="112"/>
      <c r="AG87" s="112"/>
      <c r="AH87" s="112"/>
      <c r="AI87" s="112"/>
      <c r="AJ87" s="112"/>
      <c r="AK87" s="112"/>
      <c r="AL87" s="112"/>
      <c r="AM87" s="112"/>
      <c r="AN87" s="112"/>
      <c r="AO87" s="112"/>
      <c r="AP87" s="112"/>
      <c r="AQ87" s="112"/>
      <c r="AR87" s="112"/>
      <c r="AS87" s="112"/>
      <c r="AT87" s="112"/>
      <c r="AU87" s="112"/>
      <c r="AV87" s="112"/>
      <c r="AW87" s="112"/>
      <c r="AX87" s="112"/>
      <c r="AY87" s="112"/>
      <c r="AZ87" s="112"/>
      <c r="BA87" s="112"/>
      <c r="BB87" s="112"/>
      <c r="BC87" s="112"/>
      <c r="BD87" s="112"/>
      <c r="BE87" s="112"/>
      <c r="BF87" s="112"/>
      <c r="BG87" s="112"/>
      <c r="BH87" s="112"/>
      <c r="BI87" s="112"/>
      <c r="BJ87" s="112"/>
      <c r="BK87" s="112"/>
      <c r="BL87" s="112"/>
      <c r="BM87" s="112"/>
      <c r="BN87" s="112"/>
      <c r="BO87" s="112"/>
      <c r="BP87" s="112"/>
      <c r="BQ87" s="112"/>
      <c r="BR87" s="112"/>
      <c r="BS87" s="112"/>
      <c r="BT87" s="112"/>
      <c r="BU87" s="112"/>
      <c r="BV87" s="112"/>
      <c r="BW87" s="112"/>
      <c r="BX87" s="112"/>
      <c r="BY87" s="112"/>
      <c r="BZ87" s="112"/>
      <c r="CA87" s="112"/>
      <c r="CB87" s="112"/>
      <c r="CC87" s="112"/>
      <c r="CD87" s="112"/>
      <c r="CE87" s="112"/>
      <c r="CF87" s="112"/>
      <c r="CG87" s="112"/>
      <c r="CH87" s="112"/>
      <c r="CI87" s="112"/>
      <c r="CJ87" s="112"/>
      <c r="CK87" s="112"/>
      <c r="CL87" s="112"/>
      <c r="CM87" s="112"/>
    </row>
    <row r="88" spans="1:91" ht="14.75" customHeight="1">
      <c r="A88" s="106" t="s">
        <v>519</v>
      </c>
      <c r="B88" s="112"/>
      <c r="C88" s="112"/>
      <c r="D88" s="112"/>
      <c r="E88" s="112"/>
      <c r="F88" s="112"/>
      <c r="G88" s="112"/>
      <c r="H88" s="112"/>
      <c r="I88" s="112"/>
      <c r="J88" s="112"/>
      <c r="K88" s="112"/>
      <c r="L88" s="112"/>
      <c r="M88" s="112"/>
      <c r="N88" s="112"/>
      <c r="O88" s="112"/>
      <c r="P88" s="112"/>
      <c r="Q88" s="112"/>
      <c r="R88" s="112"/>
      <c r="S88" s="112"/>
      <c r="T88" s="112"/>
      <c r="U88" s="112"/>
      <c r="V88" s="112"/>
      <c r="W88" s="112"/>
      <c r="X88" s="112"/>
      <c r="Y88" s="112"/>
      <c r="Z88" s="112"/>
      <c r="AA88" s="112"/>
      <c r="AB88" s="112"/>
      <c r="AC88" s="112"/>
      <c r="AD88" s="112"/>
      <c r="AE88" s="112"/>
      <c r="AF88" s="112"/>
      <c r="AG88" s="112"/>
      <c r="AH88" s="112"/>
      <c r="AI88" s="112"/>
      <c r="AJ88" s="112"/>
      <c r="AK88" s="112"/>
      <c r="AL88" s="112"/>
      <c r="AM88" s="112"/>
      <c r="AN88" s="112"/>
      <c r="AO88" s="112"/>
      <c r="AP88" s="112"/>
      <c r="AQ88" s="112"/>
      <c r="AR88" s="112"/>
      <c r="AS88" s="112"/>
      <c r="AT88" s="112"/>
      <c r="AU88" s="112"/>
      <c r="AV88" s="112"/>
      <c r="AW88" s="112"/>
      <c r="AX88" s="112"/>
      <c r="AY88" s="112"/>
      <c r="AZ88" s="112"/>
      <c r="BA88" s="112"/>
      <c r="BB88" s="112"/>
      <c r="BC88" s="112"/>
      <c r="BD88" s="112"/>
      <c r="BE88" s="112"/>
      <c r="BF88" s="112"/>
      <c r="BG88" s="112"/>
      <c r="BH88" s="112"/>
      <c r="BI88" s="112"/>
      <c r="BJ88" s="112"/>
      <c r="BK88" s="112"/>
      <c r="BL88" s="112"/>
      <c r="BM88" s="112"/>
      <c r="BN88" s="112"/>
      <c r="BO88" s="112"/>
      <c r="BP88" s="112"/>
      <c r="BQ88" s="112"/>
      <c r="BR88" s="112"/>
      <c r="BS88" s="112"/>
      <c r="BT88" s="112"/>
      <c r="BU88" s="112"/>
      <c r="BV88" s="112"/>
      <c r="BW88" s="112"/>
      <c r="BX88" s="112"/>
      <c r="BY88" s="112"/>
      <c r="BZ88" s="112"/>
      <c r="CA88" s="112"/>
      <c r="CB88" s="112"/>
      <c r="CC88" s="112"/>
      <c r="CD88" s="112"/>
      <c r="CE88" s="112"/>
      <c r="CF88" s="112"/>
      <c r="CG88" s="112"/>
      <c r="CH88" s="112"/>
      <c r="CI88" s="112"/>
      <c r="CJ88" s="112"/>
      <c r="CK88" s="112"/>
      <c r="CL88" s="112"/>
      <c r="CM88" s="112"/>
    </row>
    <row r="89" spans="1:91" ht="14.75" customHeight="1">
      <c r="A89" s="106" t="s">
        <v>520</v>
      </c>
      <c r="B89" s="112"/>
      <c r="C89" s="112"/>
      <c r="D89" s="112"/>
      <c r="E89" s="112"/>
      <c r="F89" s="112"/>
      <c r="G89" s="112"/>
      <c r="H89" s="112"/>
      <c r="I89" s="112"/>
      <c r="J89" s="112"/>
      <c r="K89" s="112"/>
      <c r="L89" s="112"/>
      <c r="M89" s="112"/>
      <c r="N89" s="112"/>
      <c r="O89" s="112"/>
      <c r="P89" s="112"/>
      <c r="Q89" s="112"/>
      <c r="R89" s="112"/>
      <c r="S89" s="112"/>
      <c r="T89" s="112"/>
      <c r="U89" s="112"/>
      <c r="V89" s="112"/>
      <c r="W89" s="112"/>
      <c r="X89" s="112"/>
      <c r="Y89" s="112"/>
      <c r="Z89" s="112"/>
      <c r="AA89" s="112"/>
      <c r="AB89" s="112"/>
      <c r="AC89" s="112"/>
      <c r="AD89" s="112"/>
      <c r="AE89" s="112"/>
      <c r="AF89" s="112"/>
      <c r="AG89" s="112"/>
      <c r="AH89" s="112"/>
      <c r="AI89" s="112"/>
      <c r="AJ89" s="112"/>
      <c r="AK89" s="112"/>
      <c r="AL89" s="112"/>
      <c r="AM89" s="112"/>
      <c r="AN89" s="112"/>
      <c r="AO89" s="112"/>
      <c r="AP89" s="112"/>
      <c r="AQ89" s="112"/>
      <c r="AR89" s="112"/>
      <c r="AS89" s="112"/>
      <c r="AT89" s="112"/>
      <c r="AU89" s="112"/>
      <c r="AV89" s="112"/>
      <c r="AW89" s="112"/>
      <c r="AX89" s="112"/>
      <c r="AY89" s="112"/>
      <c r="AZ89" s="112"/>
      <c r="BA89" s="112"/>
      <c r="BB89" s="112"/>
      <c r="BC89" s="112"/>
      <c r="BD89" s="112"/>
      <c r="BE89" s="112"/>
      <c r="BF89" s="112"/>
      <c r="BG89" s="112"/>
      <c r="BH89" s="112"/>
      <c r="BI89" s="112"/>
      <c r="BJ89" s="112"/>
      <c r="BK89" s="112"/>
      <c r="BL89" s="112"/>
      <c r="BM89" s="112"/>
      <c r="BN89" s="112"/>
      <c r="BO89" s="112"/>
      <c r="BP89" s="112"/>
      <c r="BQ89" s="112"/>
      <c r="BR89" s="112"/>
      <c r="BS89" s="112"/>
      <c r="BT89" s="112"/>
      <c r="BU89" s="112"/>
      <c r="BV89" s="112"/>
      <c r="BW89" s="112"/>
      <c r="BX89" s="112"/>
      <c r="BY89" s="112"/>
      <c r="BZ89" s="112"/>
      <c r="CA89" s="112"/>
      <c r="CB89" s="112"/>
      <c r="CC89" s="112"/>
      <c r="CD89" s="112"/>
      <c r="CE89" s="112"/>
      <c r="CF89" s="112"/>
      <c r="CG89" s="112"/>
      <c r="CH89" s="112"/>
      <c r="CI89" s="112"/>
      <c r="CJ89" s="112"/>
      <c r="CK89" s="112"/>
      <c r="CL89" s="112"/>
      <c r="CM89" s="112"/>
    </row>
    <row r="90" spans="1:91">
      <c r="B90" s="112"/>
      <c r="C90" s="112"/>
      <c r="D90" s="112"/>
      <c r="E90" s="112"/>
      <c r="F90" s="112"/>
      <c r="G90" s="112"/>
      <c r="H90" s="112"/>
      <c r="I90" s="112"/>
      <c r="J90" s="112"/>
      <c r="K90" s="112"/>
      <c r="L90" s="112"/>
      <c r="M90" s="112"/>
      <c r="N90" s="112"/>
      <c r="O90" s="112"/>
      <c r="P90" s="112"/>
      <c r="Q90" s="112"/>
      <c r="R90" s="112"/>
      <c r="S90" s="112"/>
      <c r="T90" s="112"/>
      <c r="U90" s="112"/>
      <c r="V90" s="112"/>
      <c r="W90" s="112"/>
      <c r="X90" s="112"/>
      <c r="Y90" s="112"/>
      <c r="Z90" s="112"/>
      <c r="AA90" s="112"/>
      <c r="AB90" s="112"/>
      <c r="AC90" s="112"/>
      <c r="AD90" s="112"/>
      <c r="AE90" s="112"/>
      <c r="AF90" s="112"/>
      <c r="AG90" s="112"/>
      <c r="AH90" s="112"/>
      <c r="AI90" s="112"/>
      <c r="AJ90" s="112"/>
      <c r="AK90" s="112"/>
      <c r="AL90" s="112"/>
      <c r="AM90" s="112"/>
      <c r="AN90" s="112"/>
      <c r="AO90" s="112"/>
      <c r="AP90" s="112"/>
      <c r="AQ90" s="112"/>
      <c r="AR90" s="112"/>
      <c r="AS90" s="112"/>
      <c r="AT90" s="112"/>
      <c r="AU90" s="112"/>
      <c r="AV90" s="112"/>
      <c r="AW90" s="112"/>
      <c r="AX90" s="112"/>
      <c r="AY90" s="112"/>
      <c r="AZ90" s="112"/>
      <c r="BA90" s="112"/>
      <c r="BB90" s="112"/>
      <c r="BC90" s="112"/>
      <c r="BD90" s="112"/>
      <c r="BE90" s="112"/>
      <c r="BF90" s="112"/>
      <c r="BG90" s="112"/>
      <c r="BH90" s="112"/>
      <c r="BI90" s="112"/>
      <c r="BJ90" s="112"/>
      <c r="BK90" s="112"/>
      <c r="BL90" s="112"/>
      <c r="BM90" s="112"/>
      <c r="BN90" s="112"/>
      <c r="BO90" s="112"/>
      <c r="BP90" s="112"/>
      <c r="BQ90" s="112"/>
      <c r="BR90" s="112"/>
      <c r="BS90" s="112"/>
      <c r="BT90" s="112"/>
      <c r="BU90" s="112"/>
      <c r="BV90" s="112"/>
      <c r="BW90" s="112"/>
      <c r="BX90" s="112"/>
      <c r="BY90" s="112"/>
      <c r="BZ90" s="112"/>
      <c r="CA90" s="112"/>
      <c r="CB90" s="112"/>
      <c r="CC90" s="112"/>
      <c r="CD90" s="112"/>
      <c r="CE90" s="112"/>
      <c r="CF90" s="112"/>
      <c r="CG90" s="112"/>
      <c r="CH90" s="112"/>
      <c r="CI90" s="112"/>
      <c r="CJ90" s="112"/>
      <c r="CK90" s="112"/>
      <c r="CL90" s="112"/>
      <c r="CM90" s="112"/>
    </row>
    <row r="91" spans="1:91" ht="14.75" customHeight="1">
      <c r="A91" s="106" t="s">
        <v>521</v>
      </c>
      <c r="B91" s="112"/>
      <c r="C91" s="112"/>
      <c r="D91" s="112"/>
      <c r="E91" s="112"/>
      <c r="F91" s="112"/>
      <c r="G91" s="112"/>
      <c r="H91" s="112"/>
      <c r="I91" s="112"/>
      <c r="J91" s="112"/>
      <c r="K91" s="112"/>
      <c r="L91" s="112"/>
      <c r="M91" s="112"/>
      <c r="N91" s="112"/>
      <c r="O91" s="112"/>
      <c r="P91" s="112"/>
      <c r="Q91" s="112"/>
      <c r="R91" s="112"/>
      <c r="S91" s="112"/>
      <c r="T91" s="112"/>
      <c r="U91" s="112"/>
      <c r="V91" s="112"/>
      <c r="W91" s="112"/>
      <c r="X91" s="112"/>
      <c r="Y91" s="112"/>
      <c r="Z91" s="112"/>
      <c r="AA91" s="112"/>
      <c r="AB91" s="112"/>
      <c r="AC91" s="112"/>
      <c r="AD91" s="112"/>
      <c r="AE91" s="112"/>
      <c r="AF91" s="112"/>
      <c r="AG91" s="112"/>
      <c r="AH91" s="112"/>
      <c r="AI91" s="112"/>
      <c r="AJ91" s="112"/>
      <c r="AK91" s="112"/>
      <c r="AL91" s="112"/>
      <c r="AM91" s="112"/>
      <c r="AN91" s="112"/>
      <c r="AO91" s="112"/>
      <c r="AP91" s="112"/>
      <c r="AQ91" s="112"/>
      <c r="AR91" s="112"/>
      <c r="AS91" s="112"/>
      <c r="AT91" s="112"/>
      <c r="AU91" s="112"/>
      <c r="AV91" s="112"/>
      <c r="AW91" s="112"/>
      <c r="AX91" s="112"/>
      <c r="AY91" s="112"/>
      <c r="AZ91" s="112"/>
      <c r="BA91" s="112"/>
      <c r="BB91" s="112"/>
      <c r="BC91" s="112"/>
      <c r="BD91" s="112"/>
      <c r="BE91" s="112"/>
      <c r="BF91" s="112"/>
      <c r="BG91" s="112"/>
      <c r="BH91" s="112"/>
      <c r="BI91" s="112"/>
      <c r="BJ91" s="112"/>
      <c r="BK91" s="112"/>
      <c r="BL91" s="112"/>
      <c r="BM91" s="112"/>
      <c r="BN91" s="112"/>
      <c r="BO91" s="112"/>
      <c r="BP91" s="112"/>
      <c r="BQ91" s="112"/>
      <c r="BR91" s="112"/>
      <c r="BS91" s="112"/>
      <c r="BT91" s="112"/>
      <c r="BU91" s="112"/>
      <c r="BV91" s="112"/>
      <c r="BW91" s="112"/>
      <c r="BX91" s="112"/>
      <c r="BY91" s="112"/>
      <c r="BZ91" s="112"/>
      <c r="CA91" s="112"/>
      <c r="CB91" s="112"/>
      <c r="CC91" s="112"/>
      <c r="CD91" s="112"/>
      <c r="CE91" s="112"/>
      <c r="CF91" s="112"/>
      <c r="CG91" s="112"/>
      <c r="CH91" s="112"/>
      <c r="CI91" s="112"/>
      <c r="CJ91" s="112"/>
      <c r="CK91" s="112"/>
      <c r="CL91" s="112"/>
      <c r="CM91" s="112"/>
    </row>
    <row r="92" spans="1:91" ht="14.75" customHeight="1">
      <c r="A92" s="106" t="s">
        <v>522</v>
      </c>
      <c r="B92" s="112"/>
      <c r="C92" s="112"/>
      <c r="D92" s="112"/>
      <c r="E92" s="112"/>
      <c r="F92" s="112"/>
      <c r="G92" s="112"/>
      <c r="H92" s="112"/>
      <c r="I92" s="112"/>
      <c r="J92" s="112"/>
      <c r="K92" s="112"/>
      <c r="L92" s="112"/>
      <c r="M92" s="112"/>
      <c r="N92" s="112"/>
      <c r="O92" s="112"/>
      <c r="P92" s="112"/>
      <c r="Q92" s="112"/>
      <c r="R92" s="112"/>
      <c r="S92" s="112"/>
      <c r="T92" s="112"/>
      <c r="U92" s="112"/>
      <c r="V92" s="112"/>
      <c r="W92" s="112"/>
      <c r="X92" s="112"/>
      <c r="Y92" s="112"/>
      <c r="Z92" s="112"/>
      <c r="AA92" s="112"/>
      <c r="AB92" s="112"/>
      <c r="AC92" s="112"/>
      <c r="AD92" s="112"/>
      <c r="AE92" s="112"/>
      <c r="AF92" s="112"/>
      <c r="AG92" s="112"/>
      <c r="AH92" s="112"/>
      <c r="AI92" s="112"/>
      <c r="AJ92" s="112"/>
      <c r="AK92" s="112"/>
      <c r="AL92" s="112"/>
      <c r="AM92" s="112"/>
      <c r="AN92" s="112"/>
      <c r="AO92" s="112"/>
      <c r="AP92" s="112"/>
      <c r="AQ92" s="112"/>
      <c r="AR92" s="112"/>
      <c r="AS92" s="112"/>
      <c r="AT92" s="112"/>
      <c r="AU92" s="112"/>
      <c r="AV92" s="112"/>
      <c r="AW92" s="112"/>
      <c r="AX92" s="112"/>
      <c r="AY92" s="112"/>
      <c r="AZ92" s="112"/>
      <c r="BA92" s="112"/>
      <c r="BB92" s="112"/>
      <c r="BC92" s="112"/>
      <c r="BD92" s="112"/>
      <c r="BE92" s="112"/>
      <c r="BF92" s="112"/>
      <c r="BG92" s="112"/>
      <c r="BH92" s="112"/>
      <c r="BI92" s="112"/>
      <c r="BJ92" s="112"/>
      <c r="BK92" s="112"/>
      <c r="BL92" s="112"/>
      <c r="BM92" s="112"/>
      <c r="BN92" s="112"/>
      <c r="BO92" s="112"/>
      <c r="BP92" s="112"/>
      <c r="BQ92" s="112"/>
      <c r="BR92" s="112"/>
      <c r="BS92" s="112"/>
      <c r="BT92" s="112"/>
      <c r="BU92" s="112"/>
      <c r="BV92" s="112"/>
      <c r="BW92" s="112"/>
      <c r="BX92" s="112"/>
      <c r="BY92" s="112"/>
      <c r="BZ92" s="112"/>
      <c r="CA92" s="112"/>
      <c r="CB92" s="112"/>
      <c r="CC92" s="112"/>
      <c r="CD92" s="112"/>
      <c r="CE92" s="112"/>
      <c r="CF92" s="112"/>
      <c r="CG92" s="112"/>
      <c r="CH92" s="112"/>
      <c r="CI92" s="112"/>
      <c r="CJ92" s="112"/>
      <c r="CK92" s="112"/>
      <c r="CL92" s="112"/>
      <c r="CM92" s="112"/>
    </row>
    <row r="93" spans="1:91" ht="14.75" customHeight="1">
      <c r="A93" s="106" t="s">
        <v>523</v>
      </c>
      <c r="B93" s="112"/>
      <c r="C93" s="112"/>
      <c r="D93" s="112"/>
      <c r="E93" s="112"/>
      <c r="F93" s="112"/>
      <c r="G93" s="112"/>
      <c r="H93" s="112"/>
      <c r="I93" s="112"/>
      <c r="J93" s="112"/>
      <c r="K93" s="112"/>
      <c r="L93" s="112"/>
      <c r="M93" s="112"/>
      <c r="N93" s="112"/>
      <c r="O93" s="112"/>
      <c r="P93" s="112"/>
      <c r="Q93" s="112"/>
      <c r="R93" s="112"/>
      <c r="S93" s="112"/>
      <c r="T93" s="112"/>
      <c r="U93" s="112"/>
      <c r="V93" s="112"/>
      <c r="W93" s="112"/>
      <c r="X93" s="112"/>
      <c r="Y93" s="112"/>
      <c r="Z93" s="112"/>
      <c r="AA93" s="112"/>
      <c r="AB93" s="112"/>
      <c r="AC93" s="112"/>
      <c r="AD93" s="112"/>
      <c r="AE93" s="112"/>
      <c r="AF93" s="112"/>
      <c r="AG93" s="112"/>
      <c r="AH93" s="112"/>
      <c r="AI93" s="112"/>
      <c r="AJ93" s="112"/>
      <c r="AK93" s="112"/>
      <c r="AL93" s="112"/>
      <c r="AM93" s="112"/>
      <c r="AN93" s="112"/>
      <c r="AO93" s="112"/>
      <c r="AP93" s="112"/>
      <c r="AQ93" s="112"/>
      <c r="AR93" s="112"/>
      <c r="AS93" s="112"/>
      <c r="AT93" s="112"/>
      <c r="AU93" s="112"/>
      <c r="AV93" s="112"/>
      <c r="AW93" s="112"/>
      <c r="AX93" s="112"/>
      <c r="AY93" s="112"/>
      <c r="AZ93" s="112"/>
      <c r="BA93" s="112"/>
      <c r="BB93" s="112"/>
      <c r="BC93" s="112"/>
      <c r="BD93" s="112"/>
      <c r="BE93" s="112"/>
      <c r="BF93" s="112"/>
      <c r="BG93" s="112"/>
      <c r="BH93" s="112"/>
      <c r="BI93" s="112"/>
      <c r="BJ93" s="112"/>
      <c r="BK93" s="112"/>
      <c r="BL93" s="112"/>
      <c r="BM93" s="112"/>
      <c r="BN93" s="112"/>
      <c r="BO93" s="112"/>
      <c r="BP93" s="112"/>
      <c r="BQ93" s="112"/>
      <c r="BR93" s="112"/>
      <c r="BS93" s="112"/>
      <c r="BT93" s="112"/>
      <c r="BU93" s="112"/>
      <c r="BV93" s="112"/>
      <c r="BW93" s="112"/>
      <c r="BX93" s="112"/>
      <c r="BY93" s="112"/>
      <c r="BZ93" s="112"/>
      <c r="CA93" s="112"/>
      <c r="CB93" s="112"/>
      <c r="CC93" s="112"/>
      <c r="CD93" s="112"/>
      <c r="CE93" s="112"/>
      <c r="CF93" s="112"/>
      <c r="CG93" s="112"/>
      <c r="CH93" s="112"/>
      <c r="CI93" s="112"/>
      <c r="CJ93" s="112"/>
      <c r="CK93" s="112"/>
      <c r="CL93" s="112"/>
      <c r="CM93" s="112"/>
    </row>
    <row r="94" spans="1:91" ht="14.75" customHeight="1">
      <c r="A94" s="106" t="s">
        <v>524</v>
      </c>
      <c r="B94" s="112"/>
      <c r="C94" s="112"/>
      <c r="D94" s="112"/>
      <c r="E94" s="112"/>
      <c r="F94" s="112"/>
      <c r="G94" s="112"/>
      <c r="H94" s="112"/>
      <c r="I94" s="112"/>
      <c r="J94" s="112"/>
      <c r="K94" s="112"/>
      <c r="L94" s="112"/>
      <c r="M94" s="112"/>
      <c r="N94" s="112"/>
      <c r="O94" s="112"/>
      <c r="P94" s="112"/>
      <c r="Q94" s="112"/>
      <c r="R94" s="112"/>
      <c r="S94" s="112"/>
      <c r="T94" s="112"/>
      <c r="U94" s="112"/>
      <c r="V94" s="112"/>
      <c r="W94" s="112"/>
      <c r="X94" s="112"/>
      <c r="Y94" s="112"/>
      <c r="Z94" s="112"/>
      <c r="AA94" s="112"/>
      <c r="AB94" s="112"/>
      <c r="AC94" s="112"/>
      <c r="AD94" s="112"/>
      <c r="AE94" s="112"/>
      <c r="AF94" s="112"/>
      <c r="AG94" s="112"/>
      <c r="AH94" s="112"/>
      <c r="AI94" s="112"/>
      <c r="AJ94" s="112"/>
      <c r="AK94" s="112"/>
      <c r="AL94" s="112"/>
      <c r="AM94" s="112"/>
      <c r="AN94" s="112"/>
      <c r="AO94" s="112"/>
      <c r="AP94" s="112"/>
      <c r="AQ94" s="112"/>
      <c r="AR94" s="112"/>
      <c r="AS94" s="112"/>
      <c r="AT94" s="112"/>
      <c r="AU94" s="112"/>
      <c r="AV94" s="112"/>
      <c r="AW94" s="112"/>
      <c r="AX94" s="112"/>
      <c r="AY94" s="112"/>
      <c r="AZ94" s="112"/>
      <c r="BA94" s="112"/>
      <c r="BB94" s="112"/>
      <c r="BC94" s="112"/>
      <c r="BD94" s="112"/>
      <c r="BE94" s="112"/>
      <c r="BF94" s="112"/>
      <c r="BG94" s="112"/>
      <c r="BH94" s="112"/>
      <c r="BI94" s="112"/>
      <c r="BJ94" s="112"/>
      <c r="BK94" s="112"/>
      <c r="BL94" s="112"/>
      <c r="BM94" s="112"/>
      <c r="BN94" s="112"/>
      <c r="BO94" s="112"/>
      <c r="BP94" s="112"/>
      <c r="BQ94" s="112"/>
      <c r="BR94" s="112"/>
      <c r="BS94" s="112"/>
      <c r="BT94" s="112"/>
      <c r="BU94" s="112"/>
      <c r="BV94" s="112"/>
      <c r="BW94" s="112"/>
      <c r="BX94" s="112"/>
      <c r="BY94" s="112"/>
      <c r="BZ94" s="112"/>
      <c r="CA94" s="112"/>
      <c r="CB94" s="112"/>
      <c r="CC94" s="112"/>
      <c r="CD94" s="112"/>
      <c r="CE94" s="112"/>
      <c r="CF94" s="112"/>
      <c r="CG94" s="112"/>
      <c r="CH94" s="112"/>
      <c r="CI94" s="112"/>
      <c r="CJ94" s="112"/>
      <c r="CK94" s="112"/>
      <c r="CL94" s="112"/>
      <c r="CM94" s="112"/>
    </row>
    <row r="95" spans="1:91">
      <c r="B95" s="112"/>
      <c r="C95" s="112"/>
      <c r="D95" s="112"/>
      <c r="E95" s="112"/>
      <c r="F95" s="112"/>
      <c r="G95" s="112"/>
      <c r="H95" s="112"/>
      <c r="I95" s="112"/>
      <c r="J95" s="112"/>
      <c r="K95" s="112"/>
      <c r="L95" s="112"/>
      <c r="M95" s="112"/>
      <c r="N95" s="112"/>
      <c r="O95" s="112"/>
      <c r="P95" s="112"/>
      <c r="Q95" s="112"/>
      <c r="R95" s="112"/>
      <c r="S95" s="112"/>
      <c r="T95" s="112"/>
      <c r="U95" s="112"/>
      <c r="V95" s="112"/>
      <c r="W95" s="112"/>
      <c r="X95" s="112"/>
      <c r="Y95" s="112"/>
      <c r="Z95" s="112"/>
      <c r="AA95" s="112"/>
      <c r="AB95" s="112"/>
      <c r="AC95" s="112"/>
      <c r="AD95" s="112"/>
      <c r="AE95" s="112"/>
      <c r="AF95" s="112"/>
      <c r="AG95" s="112"/>
      <c r="AH95" s="112"/>
      <c r="AI95" s="112"/>
      <c r="AJ95" s="112"/>
      <c r="AK95" s="112"/>
      <c r="AL95" s="112"/>
      <c r="AM95" s="112"/>
      <c r="AN95" s="112"/>
      <c r="AO95" s="112"/>
      <c r="AP95" s="112"/>
      <c r="AQ95" s="112"/>
      <c r="AR95" s="112"/>
      <c r="AS95" s="112"/>
      <c r="AT95" s="112"/>
      <c r="AU95" s="112"/>
      <c r="AV95" s="112"/>
      <c r="AW95" s="112"/>
      <c r="AX95" s="112"/>
      <c r="AY95" s="112"/>
      <c r="AZ95" s="112"/>
      <c r="BA95" s="112"/>
      <c r="BB95" s="112"/>
      <c r="BC95" s="112"/>
      <c r="BD95" s="112"/>
      <c r="BE95" s="112"/>
      <c r="BF95" s="112"/>
      <c r="BG95" s="112"/>
      <c r="BH95" s="112"/>
      <c r="BI95" s="112"/>
      <c r="BJ95" s="112"/>
      <c r="BK95" s="112"/>
      <c r="BL95" s="112"/>
      <c r="BM95" s="112"/>
      <c r="BN95" s="112"/>
      <c r="BO95" s="112"/>
      <c r="BP95" s="112"/>
      <c r="BQ95" s="112"/>
      <c r="BR95" s="112"/>
      <c r="BS95" s="112"/>
      <c r="BT95" s="112"/>
      <c r="BU95" s="112"/>
      <c r="BV95" s="112"/>
      <c r="BW95" s="112"/>
      <c r="BX95" s="112"/>
      <c r="BY95" s="112"/>
      <c r="BZ95" s="112"/>
      <c r="CA95" s="112"/>
      <c r="CB95" s="112"/>
      <c r="CC95" s="112"/>
      <c r="CD95" s="112"/>
      <c r="CE95" s="112"/>
      <c r="CF95" s="112"/>
      <c r="CG95" s="112"/>
      <c r="CH95" s="112"/>
      <c r="CI95" s="112"/>
      <c r="CJ95" s="112"/>
      <c r="CK95" s="112"/>
      <c r="CL95" s="112"/>
      <c r="CM95" s="112"/>
    </row>
    <row r="96" spans="1:91" ht="14.75" customHeight="1">
      <c r="A96" s="106" t="s">
        <v>525</v>
      </c>
      <c r="B96" s="112"/>
      <c r="C96" s="112"/>
      <c r="D96" s="112"/>
      <c r="E96" s="112"/>
      <c r="F96" s="112"/>
      <c r="G96" s="112"/>
      <c r="H96" s="112"/>
      <c r="I96" s="112"/>
      <c r="J96" s="112"/>
      <c r="K96" s="112"/>
      <c r="L96" s="112"/>
      <c r="M96" s="112"/>
      <c r="N96" s="112"/>
      <c r="O96" s="112"/>
      <c r="P96" s="112"/>
      <c r="Q96" s="112"/>
      <c r="R96" s="112"/>
      <c r="S96" s="112"/>
      <c r="T96" s="112"/>
      <c r="U96" s="112"/>
      <c r="V96" s="112"/>
      <c r="W96" s="112"/>
      <c r="X96" s="112"/>
      <c r="Y96" s="112"/>
      <c r="Z96" s="112"/>
      <c r="AA96" s="112"/>
      <c r="AB96" s="112"/>
      <c r="AC96" s="112"/>
      <c r="AD96" s="112"/>
      <c r="AE96" s="112"/>
      <c r="AF96" s="112"/>
      <c r="AG96" s="112"/>
      <c r="AH96" s="112"/>
      <c r="AI96" s="112"/>
      <c r="AJ96" s="112"/>
      <c r="AK96" s="112"/>
      <c r="AL96" s="112"/>
      <c r="AM96" s="112"/>
      <c r="AN96" s="112"/>
      <c r="AO96" s="112"/>
      <c r="AP96" s="112"/>
      <c r="AQ96" s="112"/>
      <c r="AR96" s="112"/>
      <c r="AS96" s="112"/>
      <c r="AT96" s="112"/>
      <c r="AU96" s="112"/>
      <c r="AV96" s="112"/>
      <c r="AW96" s="112"/>
      <c r="AX96" s="112"/>
      <c r="AY96" s="112"/>
      <c r="AZ96" s="112"/>
      <c r="BA96" s="112"/>
      <c r="BB96" s="112"/>
      <c r="BC96" s="112"/>
      <c r="BD96" s="112"/>
      <c r="BE96" s="112"/>
      <c r="BF96" s="112"/>
      <c r="BG96" s="112"/>
      <c r="BH96" s="112"/>
      <c r="BI96" s="112"/>
      <c r="BJ96" s="112"/>
      <c r="BK96" s="112"/>
      <c r="BL96" s="112"/>
      <c r="BM96" s="112"/>
      <c r="BN96" s="112"/>
      <c r="BO96" s="112"/>
      <c r="BP96" s="112"/>
      <c r="BQ96" s="112"/>
      <c r="BR96" s="112"/>
      <c r="BS96" s="112"/>
      <c r="BT96" s="112"/>
      <c r="BU96" s="112"/>
      <c r="BV96" s="112"/>
      <c r="BW96" s="112"/>
      <c r="BX96" s="112"/>
      <c r="BY96" s="112"/>
      <c r="BZ96" s="112"/>
      <c r="CA96" s="112"/>
      <c r="CB96" s="112"/>
      <c r="CC96" s="112"/>
      <c r="CD96" s="112"/>
      <c r="CE96" s="112"/>
      <c r="CF96" s="112"/>
      <c r="CG96" s="112"/>
      <c r="CH96" s="112"/>
      <c r="CI96" s="112"/>
      <c r="CJ96" s="112"/>
      <c r="CK96" s="112"/>
      <c r="CL96" s="112"/>
      <c r="CM96" s="112"/>
    </row>
    <row r="97" spans="1:91" ht="14.75" customHeight="1">
      <c r="B97" s="112"/>
      <c r="C97" s="112"/>
      <c r="D97" s="112"/>
      <c r="E97" s="112"/>
      <c r="F97" s="112"/>
      <c r="G97" s="112"/>
      <c r="H97" s="112"/>
      <c r="I97" s="112"/>
      <c r="J97" s="112"/>
      <c r="K97" s="112"/>
      <c r="L97" s="112"/>
      <c r="M97" s="112"/>
      <c r="N97" s="112"/>
      <c r="O97" s="112"/>
      <c r="P97" s="112"/>
      <c r="Q97" s="112"/>
      <c r="R97" s="112"/>
      <c r="S97" s="112"/>
      <c r="T97" s="112"/>
      <c r="U97" s="112"/>
      <c r="V97" s="112"/>
      <c r="W97" s="112"/>
      <c r="X97" s="112"/>
      <c r="Y97" s="112"/>
      <c r="Z97" s="112"/>
      <c r="AA97" s="112"/>
      <c r="AB97" s="112"/>
      <c r="AC97" s="112"/>
      <c r="AD97" s="112"/>
      <c r="AE97" s="112"/>
      <c r="AF97" s="112"/>
      <c r="AG97" s="112"/>
      <c r="AH97" s="112"/>
      <c r="AI97" s="112"/>
      <c r="AJ97" s="112"/>
      <c r="AK97" s="112"/>
      <c r="AL97" s="112"/>
      <c r="AM97" s="112"/>
      <c r="AN97" s="112"/>
      <c r="AO97" s="112"/>
      <c r="AP97" s="112"/>
      <c r="AQ97" s="112"/>
      <c r="AR97" s="112"/>
      <c r="AS97" s="112"/>
      <c r="AT97" s="112"/>
      <c r="AU97" s="112"/>
      <c r="AV97" s="112"/>
      <c r="AW97" s="112"/>
      <c r="AX97" s="112"/>
      <c r="AY97" s="112"/>
      <c r="AZ97" s="112"/>
      <c r="BA97" s="112"/>
      <c r="BB97" s="112"/>
      <c r="BC97" s="112"/>
      <c r="BD97" s="112"/>
      <c r="BE97" s="112"/>
      <c r="BF97" s="112"/>
      <c r="BG97" s="112"/>
      <c r="BH97" s="112"/>
      <c r="BI97" s="112"/>
      <c r="BJ97" s="112"/>
      <c r="BK97" s="112"/>
      <c r="BL97" s="112"/>
      <c r="BM97" s="112"/>
      <c r="BN97" s="112"/>
      <c r="BO97" s="112"/>
      <c r="BP97" s="112"/>
      <c r="BQ97" s="112"/>
      <c r="BR97" s="112"/>
      <c r="BS97" s="112"/>
      <c r="BT97" s="112"/>
      <c r="BU97" s="112"/>
      <c r="BV97" s="112"/>
      <c r="BW97" s="112"/>
      <c r="BX97" s="112"/>
      <c r="BY97" s="112"/>
      <c r="BZ97" s="112"/>
      <c r="CA97" s="112"/>
      <c r="CB97" s="112"/>
      <c r="CC97" s="112"/>
      <c r="CD97" s="112"/>
      <c r="CE97" s="112"/>
      <c r="CF97" s="112"/>
      <c r="CG97" s="112"/>
      <c r="CH97" s="112"/>
      <c r="CI97" s="112"/>
      <c r="CJ97" s="112"/>
      <c r="CK97" s="112"/>
      <c r="CL97" s="112"/>
      <c r="CM97" s="112"/>
    </row>
    <row r="98" spans="1:91" ht="14.75" customHeight="1">
      <c r="B98" s="112"/>
      <c r="C98" s="112"/>
      <c r="D98" s="112"/>
      <c r="E98" s="112"/>
      <c r="F98" s="112"/>
      <c r="G98" s="112"/>
      <c r="H98" s="112"/>
      <c r="I98" s="112"/>
      <c r="J98" s="112"/>
      <c r="K98" s="112"/>
      <c r="L98" s="112"/>
      <c r="M98" s="112"/>
      <c r="N98" s="112"/>
      <c r="O98" s="112"/>
      <c r="P98" s="112"/>
      <c r="Q98" s="112"/>
      <c r="R98" s="112"/>
      <c r="S98" s="112"/>
      <c r="T98" s="112"/>
      <c r="U98" s="112"/>
      <c r="V98" s="112"/>
      <c r="W98" s="112"/>
      <c r="X98" s="112"/>
      <c r="Y98" s="112"/>
      <c r="Z98" s="112"/>
      <c r="AA98" s="112"/>
      <c r="AB98" s="112"/>
      <c r="AC98" s="112"/>
      <c r="AD98" s="112"/>
      <c r="AE98" s="112"/>
      <c r="AF98" s="112"/>
      <c r="AG98" s="112"/>
      <c r="AH98" s="112"/>
      <c r="AI98" s="112"/>
      <c r="AJ98" s="112"/>
      <c r="AK98" s="112"/>
      <c r="AL98" s="112"/>
      <c r="AM98" s="112"/>
      <c r="AN98" s="112"/>
      <c r="AO98" s="112"/>
      <c r="AP98" s="112"/>
      <c r="AQ98" s="112"/>
      <c r="AR98" s="112"/>
      <c r="AS98" s="112"/>
      <c r="AT98" s="112"/>
      <c r="AU98" s="112"/>
      <c r="AV98" s="112"/>
      <c r="AW98" s="112"/>
      <c r="AX98" s="112"/>
      <c r="AY98" s="112"/>
      <c r="AZ98" s="112"/>
      <c r="BA98" s="112"/>
      <c r="BB98" s="112"/>
      <c r="BC98" s="112"/>
      <c r="BD98" s="112"/>
      <c r="BE98" s="112"/>
      <c r="BF98" s="112"/>
      <c r="BG98" s="112"/>
      <c r="BH98" s="112"/>
      <c r="BI98" s="112"/>
      <c r="BJ98" s="112"/>
      <c r="BK98" s="112"/>
      <c r="BL98" s="112"/>
      <c r="BM98" s="112"/>
      <c r="BN98" s="112"/>
      <c r="BO98" s="112"/>
      <c r="BP98" s="112"/>
      <c r="BQ98" s="112"/>
      <c r="BR98" s="112"/>
      <c r="BS98" s="112"/>
      <c r="BT98" s="112"/>
      <c r="BU98" s="112"/>
      <c r="BV98" s="112"/>
      <c r="BW98" s="112"/>
      <c r="BX98" s="112"/>
      <c r="BY98" s="112"/>
      <c r="BZ98" s="112"/>
      <c r="CA98" s="112"/>
      <c r="CB98" s="112"/>
      <c r="CC98" s="112"/>
      <c r="CD98" s="112"/>
      <c r="CE98" s="112"/>
      <c r="CF98" s="112"/>
      <c r="CG98" s="112"/>
      <c r="CH98" s="112"/>
      <c r="CI98" s="112"/>
      <c r="CJ98" s="112"/>
      <c r="CK98" s="112"/>
      <c r="CL98" s="112"/>
      <c r="CM98" s="112"/>
    </row>
    <row r="99" spans="1:91" ht="14.75" customHeight="1">
      <c r="A99" s="113"/>
      <c r="B99" s="114"/>
      <c r="C99" s="114"/>
      <c r="D99" s="114"/>
      <c r="E99" s="114"/>
      <c r="F99" s="114"/>
      <c r="G99" s="114"/>
      <c r="H99" s="114"/>
      <c r="I99" s="114"/>
      <c r="J99" s="114"/>
      <c r="K99" s="114"/>
      <c r="L99" s="114"/>
      <c r="M99" s="114"/>
      <c r="N99" s="114"/>
      <c r="O99" s="114"/>
      <c r="P99" s="114"/>
      <c r="Q99" s="114"/>
      <c r="R99" s="114"/>
      <c r="S99" s="114"/>
      <c r="T99" s="114"/>
      <c r="U99" s="114"/>
      <c r="V99" s="114"/>
      <c r="W99" s="114"/>
      <c r="X99" s="114"/>
      <c r="Y99" s="114"/>
      <c r="Z99" s="114"/>
      <c r="AA99" s="114"/>
      <c r="AB99" s="114"/>
      <c r="AC99" s="114"/>
      <c r="AD99" s="114"/>
      <c r="AE99" s="114"/>
      <c r="AF99" s="114"/>
      <c r="AG99" s="114"/>
      <c r="AH99" s="114"/>
      <c r="AI99" s="114"/>
      <c r="AJ99" s="114"/>
      <c r="AK99" s="114"/>
      <c r="AL99" s="114"/>
      <c r="AM99" s="114"/>
      <c r="AN99" s="114"/>
      <c r="AO99" s="114"/>
      <c r="AP99" s="114"/>
      <c r="AQ99" s="114"/>
      <c r="AR99" s="114"/>
      <c r="AS99" s="114"/>
      <c r="AT99" s="114"/>
      <c r="AU99" s="114"/>
      <c r="AV99" s="114"/>
      <c r="AW99" s="114"/>
      <c r="AX99" s="114"/>
      <c r="AY99" s="114"/>
      <c r="AZ99" s="114"/>
      <c r="BA99" s="114"/>
      <c r="BB99" s="114"/>
      <c r="BC99" s="114"/>
      <c r="BD99" s="114"/>
      <c r="BE99" s="114"/>
      <c r="BF99" s="114"/>
      <c r="BG99" s="114"/>
      <c r="BH99" s="114"/>
      <c r="BI99" s="114"/>
      <c r="BJ99" s="114"/>
      <c r="BK99" s="114"/>
      <c r="BL99" s="114"/>
      <c r="BM99" s="114"/>
      <c r="BN99" s="114"/>
      <c r="BO99" s="114"/>
      <c r="BP99" s="114"/>
      <c r="BQ99" s="114"/>
      <c r="BR99" s="114"/>
      <c r="BS99" s="114"/>
      <c r="BT99" s="114"/>
      <c r="BU99" s="114"/>
      <c r="BV99" s="114"/>
      <c r="BW99" s="114"/>
      <c r="BX99" s="114"/>
      <c r="BY99" s="114"/>
      <c r="BZ99" s="114"/>
      <c r="CA99" s="114"/>
      <c r="CB99" s="114"/>
      <c r="CC99" s="114"/>
      <c r="CD99" s="114"/>
      <c r="CE99" s="114"/>
      <c r="CF99" s="114"/>
      <c r="CG99" s="114"/>
      <c r="CH99" s="114"/>
      <c r="CI99" s="114"/>
      <c r="CJ99" s="114"/>
      <c r="CK99" s="114"/>
      <c r="CL99" s="114"/>
      <c r="CM99" s="114"/>
    </row>
    <row r="100" spans="1:91">
      <c r="B100" s="112"/>
      <c r="C100" s="112"/>
      <c r="D100" s="112"/>
      <c r="E100" s="112"/>
      <c r="F100" s="112"/>
      <c r="G100" s="112"/>
      <c r="H100" s="112"/>
      <c r="I100" s="112"/>
      <c r="J100" s="112"/>
      <c r="K100" s="112"/>
      <c r="L100" s="112"/>
      <c r="M100" s="112"/>
      <c r="N100" s="112"/>
      <c r="O100" s="112"/>
      <c r="P100" s="112"/>
      <c r="Q100" s="112"/>
      <c r="R100" s="112"/>
      <c r="S100" s="112"/>
      <c r="T100" s="112"/>
      <c r="U100" s="112"/>
      <c r="V100" s="112"/>
      <c r="W100" s="112"/>
      <c r="X100" s="112"/>
      <c r="Y100" s="112"/>
      <c r="Z100" s="112"/>
      <c r="AA100" s="112"/>
      <c r="AB100" s="112"/>
      <c r="AC100" s="112"/>
      <c r="AD100" s="112"/>
      <c r="AE100" s="112"/>
      <c r="AF100" s="112"/>
      <c r="AG100" s="112"/>
      <c r="AH100" s="112"/>
      <c r="AI100" s="112"/>
      <c r="AJ100" s="112"/>
      <c r="AK100" s="112"/>
      <c r="AL100" s="112"/>
      <c r="AM100" s="112"/>
      <c r="AN100" s="112"/>
      <c r="AO100" s="112"/>
      <c r="AP100" s="112"/>
      <c r="AQ100" s="112"/>
      <c r="AR100" s="112"/>
      <c r="AS100" s="112"/>
      <c r="AT100" s="112"/>
      <c r="AU100" s="112"/>
      <c r="AV100" s="112"/>
      <c r="AW100" s="112"/>
      <c r="AX100" s="112"/>
      <c r="AY100" s="112"/>
      <c r="AZ100" s="112"/>
      <c r="BA100" s="112"/>
      <c r="BB100" s="112"/>
      <c r="BC100" s="112"/>
      <c r="BD100" s="112"/>
      <c r="BE100" s="112"/>
      <c r="BF100" s="112"/>
      <c r="BG100" s="112"/>
      <c r="BH100" s="112"/>
      <c r="BI100" s="112"/>
      <c r="BJ100" s="112"/>
      <c r="BK100" s="112"/>
      <c r="BL100" s="112"/>
      <c r="BM100" s="112"/>
      <c r="BN100" s="112"/>
      <c r="BO100" s="112"/>
      <c r="BP100" s="112"/>
      <c r="BQ100" s="112"/>
      <c r="BR100" s="112"/>
      <c r="BS100" s="112"/>
      <c r="BT100" s="112"/>
      <c r="BU100" s="112"/>
      <c r="BV100" s="112"/>
      <c r="BW100" s="112"/>
      <c r="BX100" s="112"/>
      <c r="BY100" s="112"/>
      <c r="BZ100" s="112"/>
      <c r="CA100" s="112"/>
      <c r="CB100" s="112"/>
      <c r="CC100" s="112"/>
      <c r="CD100" s="112"/>
      <c r="CE100" s="112"/>
      <c r="CF100" s="112"/>
      <c r="CG100" s="112"/>
      <c r="CH100" s="112"/>
      <c r="CI100" s="112"/>
      <c r="CJ100" s="112"/>
      <c r="CK100" s="112"/>
      <c r="CL100" s="112"/>
      <c r="CM100" s="112"/>
    </row>
    <row r="101" spans="1:91">
      <c r="B101" s="112"/>
      <c r="C101" s="112"/>
      <c r="D101" s="112"/>
      <c r="E101" s="112"/>
      <c r="F101" s="112"/>
      <c r="G101" s="112"/>
      <c r="H101" s="112"/>
      <c r="I101" s="112"/>
      <c r="J101" s="112"/>
      <c r="K101" s="112"/>
      <c r="L101" s="112"/>
      <c r="M101" s="112"/>
      <c r="N101" s="112"/>
      <c r="O101" s="112"/>
      <c r="P101" s="112"/>
      <c r="Q101" s="112"/>
      <c r="R101" s="112"/>
      <c r="S101" s="112"/>
      <c r="T101" s="112"/>
      <c r="U101" s="112"/>
      <c r="V101" s="112"/>
      <c r="W101" s="112"/>
      <c r="X101" s="112"/>
      <c r="Y101" s="112"/>
      <c r="Z101" s="112"/>
      <c r="AA101" s="112"/>
      <c r="AB101" s="112"/>
      <c r="AC101" s="112"/>
      <c r="AD101" s="112"/>
      <c r="AE101" s="112"/>
      <c r="AF101" s="112"/>
      <c r="AG101" s="112"/>
      <c r="AH101" s="112"/>
      <c r="AI101" s="112"/>
      <c r="AJ101" s="112"/>
      <c r="AK101" s="112"/>
      <c r="AL101" s="112"/>
      <c r="AM101" s="112"/>
      <c r="AN101" s="112"/>
      <c r="AO101" s="112"/>
      <c r="AP101" s="112"/>
      <c r="AQ101" s="112"/>
      <c r="AR101" s="112"/>
      <c r="AS101" s="112"/>
      <c r="AT101" s="112"/>
      <c r="AU101" s="112"/>
      <c r="AV101" s="112"/>
      <c r="AW101" s="112"/>
      <c r="AX101" s="112"/>
      <c r="AY101" s="112"/>
      <c r="AZ101" s="112"/>
      <c r="BA101" s="112"/>
      <c r="BB101" s="112"/>
      <c r="BC101" s="112"/>
      <c r="BD101" s="112"/>
      <c r="BE101" s="112"/>
      <c r="BF101" s="112"/>
      <c r="BG101" s="112"/>
      <c r="BH101" s="112"/>
      <c r="BI101" s="112"/>
      <c r="BJ101" s="112"/>
      <c r="BK101" s="112"/>
      <c r="BL101" s="112"/>
      <c r="BM101" s="112"/>
      <c r="BN101" s="112"/>
      <c r="BO101" s="112"/>
      <c r="BP101" s="112"/>
      <c r="BQ101" s="112"/>
      <c r="BR101" s="112"/>
      <c r="BS101" s="112"/>
      <c r="BT101" s="112"/>
      <c r="BU101" s="112"/>
      <c r="BV101" s="112"/>
      <c r="BW101" s="112"/>
      <c r="BX101" s="112"/>
      <c r="BY101" s="112"/>
      <c r="BZ101" s="112"/>
      <c r="CA101" s="112"/>
      <c r="CB101" s="112"/>
      <c r="CC101" s="112"/>
      <c r="CD101" s="112"/>
      <c r="CE101" s="112"/>
      <c r="CF101" s="112"/>
      <c r="CG101" s="112"/>
      <c r="CH101" s="112"/>
      <c r="CI101" s="112"/>
      <c r="CJ101" s="112"/>
      <c r="CK101" s="112"/>
      <c r="CL101" s="112"/>
      <c r="CM101" s="112"/>
    </row>
  </sheetData>
  <mergeCells count="74">
    <mergeCell ref="CK5:CM5"/>
    <mergeCell ref="BD5:BF5"/>
    <mergeCell ref="BG5:BI5"/>
    <mergeCell ref="BJ5:BL5"/>
    <mergeCell ref="BM5:BO5"/>
    <mergeCell ref="BP5:BR5"/>
    <mergeCell ref="BS5:BU5"/>
    <mergeCell ref="BV5:BX5"/>
    <mergeCell ref="BY5:CA5"/>
    <mergeCell ref="CB5:CD5"/>
    <mergeCell ref="CE5:CG5"/>
    <mergeCell ref="CH5:CJ5"/>
    <mergeCell ref="BA5:BC5"/>
    <mergeCell ref="T5:V5"/>
    <mergeCell ref="W5:Y5"/>
    <mergeCell ref="Z5:AB5"/>
    <mergeCell ref="AC5:AE5"/>
    <mergeCell ref="AF5:AH5"/>
    <mergeCell ref="AI5:AK5"/>
    <mergeCell ref="AL5:AN5"/>
    <mergeCell ref="AO5:AQ5"/>
    <mergeCell ref="AR5:AT5"/>
    <mergeCell ref="AU5:AW5"/>
    <mergeCell ref="AX5:AZ5"/>
    <mergeCell ref="B5:D5"/>
    <mergeCell ref="E5:G5"/>
    <mergeCell ref="H5:J5"/>
    <mergeCell ref="K5:M5"/>
    <mergeCell ref="N5:P5"/>
    <mergeCell ref="Q5:S5"/>
    <mergeCell ref="BV4:BX4"/>
    <mergeCell ref="BY4:CA4"/>
    <mergeCell ref="CB4:CD4"/>
    <mergeCell ref="CE4:CG4"/>
    <mergeCell ref="AL4:AN4"/>
    <mergeCell ref="AO4:AQ4"/>
    <mergeCell ref="AR4:AT4"/>
    <mergeCell ref="AU4:AW4"/>
    <mergeCell ref="AX4:AZ4"/>
    <mergeCell ref="BA4:BC4"/>
    <mergeCell ref="T4:V4"/>
    <mergeCell ref="W4:Y4"/>
    <mergeCell ref="Z4:AB4"/>
    <mergeCell ref="AC4:AE4"/>
    <mergeCell ref="AF4:AH4"/>
    <mergeCell ref="AI4:AK4"/>
    <mergeCell ref="BD3:BL3"/>
    <mergeCell ref="BM3:BU3"/>
    <mergeCell ref="BV3:CD3"/>
    <mergeCell ref="CE3:CM3"/>
    <mergeCell ref="CH4:CJ4"/>
    <mergeCell ref="CK4:CM4"/>
    <mergeCell ref="BD4:BF4"/>
    <mergeCell ref="BG4:BI4"/>
    <mergeCell ref="BJ4:BL4"/>
    <mergeCell ref="BM4:BO4"/>
    <mergeCell ref="BP4:BR4"/>
    <mergeCell ref="BS4:BU4"/>
    <mergeCell ref="Q4:S4"/>
    <mergeCell ref="A1:CM1"/>
    <mergeCell ref="A2:A6"/>
    <mergeCell ref="B2:AT2"/>
    <mergeCell ref="AU2:CM2"/>
    <mergeCell ref="B3:J3"/>
    <mergeCell ref="K3:S3"/>
    <mergeCell ref="T3:AB3"/>
    <mergeCell ref="AC3:AK3"/>
    <mergeCell ref="AL3:AT3"/>
    <mergeCell ref="AU3:BC3"/>
    <mergeCell ref="B4:D4"/>
    <mergeCell ref="E4:G4"/>
    <mergeCell ref="H4:J4"/>
    <mergeCell ref="K4:M4"/>
    <mergeCell ref="N4:P4"/>
  </mergeCells>
  <pageMargins left="0.75" right="0.75" top="1" bottom="1" header="0.5" footer="0.5"/>
  <pageSetup orientation="portrait" horizontalDpi="0" verticalDpi="0"/>
  <ignoredErrors>
    <ignoredError sqref="BF70 BF68" 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899D5D-E7CA-41B5-8658-466593E5E1FC}">
  <dimension ref="A1:X27"/>
  <sheetViews>
    <sheetView zoomScale="42" zoomScaleNormal="42" workbookViewId="0">
      <selection activeCell="J34" sqref="J34"/>
    </sheetView>
  </sheetViews>
  <sheetFormatPr defaultColWidth="8.6328125" defaultRowHeight="14.5"/>
  <cols>
    <col min="1" max="1" width="15.6328125" style="1" customWidth="1"/>
    <col min="2" max="2" width="12.6328125" customWidth="1"/>
    <col min="3" max="24" width="10.6328125" customWidth="1"/>
  </cols>
  <sheetData>
    <row r="1" spans="1:24" s="1" customFormat="1">
      <c r="B1" s="1" t="s">
        <v>526</v>
      </c>
      <c r="C1" s="1" t="s">
        <v>527</v>
      </c>
      <c r="D1" s="1" t="s">
        <v>528</v>
      </c>
      <c r="E1" s="1" t="s">
        <v>529</v>
      </c>
      <c r="F1" s="1" t="s">
        <v>530</v>
      </c>
      <c r="G1" s="1" t="s">
        <v>531</v>
      </c>
      <c r="H1" s="1" t="s">
        <v>532</v>
      </c>
      <c r="I1" s="1" t="s">
        <v>533</v>
      </c>
      <c r="J1" s="1" t="s">
        <v>534</v>
      </c>
      <c r="K1" s="1" t="s">
        <v>535</v>
      </c>
      <c r="L1" s="1" t="s">
        <v>536</v>
      </c>
      <c r="M1" s="1" t="s">
        <v>537</v>
      </c>
      <c r="N1" s="1" t="s">
        <v>538</v>
      </c>
      <c r="O1" s="1" t="s">
        <v>539</v>
      </c>
      <c r="P1" s="1" t="s">
        <v>540</v>
      </c>
      <c r="Q1" s="1" t="s">
        <v>541</v>
      </c>
      <c r="R1" s="1" t="s">
        <v>542</v>
      </c>
      <c r="S1" s="1" t="s">
        <v>543</v>
      </c>
      <c r="T1" s="1" t="s">
        <v>544</v>
      </c>
      <c r="U1" s="1" t="s">
        <v>545</v>
      </c>
      <c r="V1" s="1" t="s">
        <v>546</v>
      </c>
      <c r="W1" s="1" t="s">
        <v>547</v>
      </c>
      <c r="X1" s="1" t="s">
        <v>548</v>
      </c>
    </row>
    <row r="2" spans="1:24">
      <c r="A2" s="1" t="s">
        <v>549</v>
      </c>
      <c r="B2" s="104" t="s">
        <v>550</v>
      </c>
    </row>
    <row r="3" spans="1:24">
      <c r="A3" s="105">
        <v>1991</v>
      </c>
      <c r="B3">
        <v>484</v>
      </c>
      <c r="C3">
        <v>1952</v>
      </c>
      <c r="D3">
        <v>23</v>
      </c>
      <c r="E3">
        <v>17</v>
      </c>
      <c r="F3">
        <v>13</v>
      </c>
      <c r="G3">
        <v>37</v>
      </c>
      <c r="H3">
        <v>34</v>
      </c>
      <c r="I3" t="s">
        <v>41</v>
      </c>
      <c r="J3">
        <v>169</v>
      </c>
      <c r="K3">
        <v>172</v>
      </c>
      <c r="L3">
        <v>29</v>
      </c>
      <c r="M3">
        <v>241</v>
      </c>
      <c r="N3">
        <v>54</v>
      </c>
      <c r="O3" t="s">
        <v>41</v>
      </c>
      <c r="P3">
        <v>3</v>
      </c>
      <c r="Q3">
        <v>38</v>
      </c>
      <c r="R3">
        <v>27</v>
      </c>
      <c r="S3">
        <v>45</v>
      </c>
      <c r="T3" t="s">
        <v>41</v>
      </c>
      <c r="U3">
        <v>157</v>
      </c>
      <c r="V3" t="s">
        <v>41</v>
      </c>
      <c r="W3">
        <v>10</v>
      </c>
      <c r="X3">
        <v>17</v>
      </c>
    </row>
    <row r="4" spans="1:24">
      <c r="A4" s="105">
        <v>1996</v>
      </c>
      <c r="B4">
        <v>622</v>
      </c>
      <c r="C4">
        <v>3001</v>
      </c>
      <c r="D4">
        <v>18</v>
      </c>
      <c r="E4">
        <v>7</v>
      </c>
      <c r="F4">
        <v>51</v>
      </c>
      <c r="G4">
        <v>138</v>
      </c>
      <c r="H4">
        <v>24</v>
      </c>
      <c r="I4">
        <v>9</v>
      </c>
      <c r="J4">
        <v>343</v>
      </c>
      <c r="K4">
        <v>179</v>
      </c>
      <c r="L4">
        <v>39</v>
      </c>
      <c r="M4">
        <v>398</v>
      </c>
      <c r="N4">
        <v>50</v>
      </c>
      <c r="O4">
        <v>4</v>
      </c>
      <c r="P4">
        <v>13</v>
      </c>
      <c r="Q4">
        <v>25</v>
      </c>
      <c r="R4">
        <v>65</v>
      </c>
      <c r="S4">
        <v>409</v>
      </c>
      <c r="T4">
        <v>18</v>
      </c>
      <c r="U4">
        <v>524</v>
      </c>
      <c r="V4">
        <v>2</v>
      </c>
      <c r="W4">
        <v>41</v>
      </c>
      <c r="X4">
        <v>59</v>
      </c>
    </row>
    <row r="5" spans="1:24">
      <c r="A5" s="105">
        <v>2001</v>
      </c>
      <c r="B5">
        <v>789</v>
      </c>
      <c r="C5">
        <v>4099</v>
      </c>
      <c r="D5">
        <v>18</v>
      </c>
      <c r="E5">
        <v>19</v>
      </c>
      <c r="F5">
        <v>83</v>
      </c>
      <c r="G5">
        <v>242</v>
      </c>
      <c r="H5">
        <v>16</v>
      </c>
      <c r="I5">
        <v>16</v>
      </c>
      <c r="J5">
        <v>296</v>
      </c>
      <c r="K5">
        <v>225</v>
      </c>
      <c r="L5">
        <v>48</v>
      </c>
      <c r="M5">
        <v>371</v>
      </c>
      <c r="N5">
        <v>92</v>
      </c>
      <c r="O5">
        <v>14</v>
      </c>
      <c r="P5">
        <v>19</v>
      </c>
      <c r="Q5">
        <v>41</v>
      </c>
      <c r="R5">
        <v>123</v>
      </c>
      <c r="S5">
        <v>465</v>
      </c>
      <c r="T5">
        <v>39</v>
      </c>
      <c r="U5">
        <v>381</v>
      </c>
      <c r="V5">
        <v>17</v>
      </c>
      <c r="W5">
        <v>61</v>
      </c>
      <c r="X5">
        <v>100</v>
      </c>
    </row>
    <row r="6" spans="1:24">
      <c r="A6" s="105">
        <v>2006</v>
      </c>
      <c r="B6">
        <v>876</v>
      </c>
      <c r="C6">
        <v>4467</v>
      </c>
      <c r="D6">
        <v>24</v>
      </c>
      <c r="E6">
        <v>27</v>
      </c>
      <c r="F6">
        <v>96</v>
      </c>
      <c r="G6">
        <v>227</v>
      </c>
      <c r="H6">
        <v>14</v>
      </c>
      <c r="I6">
        <v>3</v>
      </c>
      <c r="J6">
        <v>396</v>
      </c>
      <c r="K6">
        <v>181</v>
      </c>
      <c r="L6">
        <v>42</v>
      </c>
      <c r="M6">
        <v>392</v>
      </c>
      <c r="N6">
        <v>73</v>
      </c>
      <c r="O6">
        <v>12</v>
      </c>
      <c r="P6">
        <v>47</v>
      </c>
      <c r="Q6">
        <v>38</v>
      </c>
      <c r="R6">
        <v>49</v>
      </c>
      <c r="S6">
        <v>398</v>
      </c>
      <c r="T6">
        <v>34</v>
      </c>
      <c r="U6">
        <v>770</v>
      </c>
      <c r="V6">
        <v>16</v>
      </c>
      <c r="W6">
        <v>40</v>
      </c>
      <c r="X6">
        <v>57</v>
      </c>
    </row>
    <row r="7" spans="1:24">
      <c r="A7" s="105">
        <v>2011</v>
      </c>
      <c r="B7">
        <v>392</v>
      </c>
      <c r="C7">
        <v>3210</v>
      </c>
      <c r="D7">
        <v>31</v>
      </c>
      <c r="E7">
        <v>40</v>
      </c>
      <c r="F7">
        <v>38</v>
      </c>
      <c r="G7">
        <v>101</v>
      </c>
      <c r="H7">
        <v>16</v>
      </c>
      <c r="I7">
        <v>13</v>
      </c>
      <c r="J7">
        <v>274</v>
      </c>
      <c r="K7">
        <v>142</v>
      </c>
      <c r="L7">
        <v>54</v>
      </c>
      <c r="M7">
        <v>278</v>
      </c>
      <c r="N7">
        <v>62</v>
      </c>
      <c r="O7">
        <v>18</v>
      </c>
      <c r="P7">
        <v>6</v>
      </c>
      <c r="Q7">
        <v>33</v>
      </c>
      <c r="R7">
        <v>41</v>
      </c>
      <c r="S7">
        <v>280</v>
      </c>
      <c r="T7">
        <v>27</v>
      </c>
      <c r="U7">
        <v>474</v>
      </c>
      <c r="V7">
        <v>36</v>
      </c>
      <c r="W7">
        <v>67</v>
      </c>
      <c r="X7">
        <v>30</v>
      </c>
    </row>
    <row r="8" spans="1:24">
      <c r="A8" s="105">
        <v>2016</v>
      </c>
      <c r="B8">
        <v>426</v>
      </c>
      <c r="C8">
        <v>2966</v>
      </c>
      <c r="D8">
        <v>55</v>
      </c>
      <c r="E8">
        <v>14</v>
      </c>
      <c r="F8">
        <v>26</v>
      </c>
      <c r="G8">
        <v>116</v>
      </c>
      <c r="H8">
        <v>12</v>
      </c>
      <c r="I8">
        <v>14</v>
      </c>
      <c r="J8">
        <v>368</v>
      </c>
      <c r="K8">
        <v>131</v>
      </c>
      <c r="L8">
        <v>43</v>
      </c>
      <c r="M8">
        <v>245</v>
      </c>
      <c r="N8">
        <v>108</v>
      </c>
      <c r="O8">
        <v>27</v>
      </c>
      <c r="P8">
        <v>40</v>
      </c>
      <c r="Q8">
        <v>32</v>
      </c>
      <c r="R8">
        <v>61</v>
      </c>
      <c r="S8">
        <v>303</v>
      </c>
      <c r="T8">
        <v>15</v>
      </c>
      <c r="U8">
        <v>450</v>
      </c>
      <c r="V8">
        <v>11</v>
      </c>
      <c r="W8">
        <v>32</v>
      </c>
      <c r="X8">
        <v>36</v>
      </c>
    </row>
    <row r="9" spans="1:24">
      <c r="A9" s="105">
        <v>2021</v>
      </c>
      <c r="B9">
        <v>468</v>
      </c>
      <c r="C9">
        <v>2907</v>
      </c>
      <c r="D9">
        <v>64</v>
      </c>
      <c r="E9">
        <v>36</v>
      </c>
      <c r="F9">
        <v>43</v>
      </c>
      <c r="G9">
        <v>130</v>
      </c>
      <c r="H9">
        <v>12</v>
      </c>
      <c r="I9">
        <v>2</v>
      </c>
      <c r="J9">
        <v>240</v>
      </c>
      <c r="K9">
        <v>179</v>
      </c>
      <c r="L9">
        <v>24</v>
      </c>
      <c r="M9">
        <v>194</v>
      </c>
      <c r="N9">
        <v>44</v>
      </c>
      <c r="O9">
        <v>35</v>
      </c>
      <c r="P9">
        <v>16</v>
      </c>
      <c r="Q9">
        <v>29</v>
      </c>
      <c r="R9">
        <v>31</v>
      </c>
      <c r="S9">
        <v>355</v>
      </c>
      <c r="T9">
        <v>31</v>
      </c>
      <c r="U9">
        <v>464</v>
      </c>
      <c r="V9">
        <v>24</v>
      </c>
      <c r="W9">
        <v>20</v>
      </c>
      <c r="X9">
        <v>25</v>
      </c>
    </row>
    <row r="10" spans="1:24">
      <c r="A10" s="105"/>
    </row>
    <row r="11" spans="1:24">
      <c r="A11" s="105" t="s">
        <v>549</v>
      </c>
      <c r="B11" s="104" t="s">
        <v>551</v>
      </c>
    </row>
    <row r="12" spans="1:24">
      <c r="A12" s="105">
        <v>1991</v>
      </c>
      <c r="B12">
        <v>74460234</v>
      </c>
      <c r="C12">
        <v>36121404</v>
      </c>
      <c r="D12">
        <v>12672368</v>
      </c>
      <c r="E12">
        <v>31853838</v>
      </c>
      <c r="F12">
        <v>4984699</v>
      </c>
      <c r="G12">
        <v>5001062</v>
      </c>
      <c r="H12">
        <v>3927152</v>
      </c>
      <c r="I12" t="s">
        <v>41</v>
      </c>
      <c r="J12">
        <v>45422642</v>
      </c>
      <c r="K12">
        <v>32560291</v>
      </c>
      <c r="L12">
        <v>5238680</v>
      </c>
      <c r="M12">
        <v>65547663</v>
      </c>
      <c r="N12">
        <v>4861635</v>
      </c>
      <c r="O12" t="s">
        <v>41</v>
      </c>
      <c r="P12">
        <v>59839</v>
      </c>
      <c r="Q12">
        <v>12757502</v>
      </c>
      <c r="R12">
        <v>8972680</v>
      </c>
      <c r="S12">
        <v>12813982</v>
      </c>
      <c r="T12" t="s">
        <v>41</v>
      </c>
      <c r="U12">
        <v>41739894</v>
      </c>
      <c r="V12" t="s">
        <v>41</v>
      </c>
      <c r="W12">
        <v>2098498</v>
      </c>
      <c r="X12">
        <v>1474341</v>
      </c>
    </row>
    <row r="13" spans="1:24">
      <c r="A13" s="105">
        <v>1996</v>
      </c>
      <c r="B13">
        <v>230116531</v>
      </c>
      <c r="C13">
        <v>92183167</v>
      </c>
      <c r="D13">
        <v>24435305</v>
      </c>
      <c r="E13">
        <v>12273700</v>
      </c>
      <c r="F13">
        <v>16144577</v>
      </c>
      <c r="G13">
        <v>106498683</v>
      </c>
      <c r="H13">
        <v>2526572</v>
      </c>
      <c r="I13">
        <v>7664000</v>
      </c>
      <c r="J13">
        <v>91449311</v>
      </c>
      <c r="K13">
        <v>167540916</v>
      </c>
      <c r="L13">
        <v>30296456</v>
      </c>
      <c r="M13">
        <v>115213341</v>
      </c>
      <c r="N13">
        <v>6354245</v>
      </c>
      <c r="O13">
        <v>4295000</v>
      </c>
      <c r="P13">
        <v>5024600</v>
      </c>
      <c r="Q13">
        <v>9456297</v>
      </c>
      <c r="R13">
        <v>11909454</v>
      </c>
      <c r="S13">
        <v>100268317</v>
      </c>
      <c r="T13">
        <v>34271000</v>
      </c>
      <c r="U13">
        <v>211100471</v>
      </c>
      <c r="V13">
        <v>5663740</v>
      </c>
      <c r="W13">
        <v>46017744</v>
      </c>
      <c r="X13">
        <v>23213624</v>
      </c>
    </row>
    <row r="14" spans="1:24">
      <c r="A14" s="105">
        <v>2001</v>
      </c>
      <c r="B14">
        <v>265752202</v>
      </c>
      <c r="C14">
        <v>150098688</v>
      </c>
      <c r="D14">
        <v>14231675</v>
      </c>
      <c r="E14">
        <v>135720041</v>
      </c>
      <c r="F14">
        <v>21147367</v>
      </c>
      <c r="G14">
        <v>100278646</v>
      </c>
      <c r="H14">
        <v>2576177</v>
      </c>
      <c r="I14">
        <v>17265500</v>
      </c>
      <c r="J14">
        <v>124384684</v>
      </c>
      <c r="K14">
        <v>73000839</v>
      </c>
      <c r="L14">
        <v>17772663</v>
      </c>
      <c r="M14">
        <v>102189753</v>
      </c>
      <c r="N14">
        <v>12213922</v>
      </c>
      <c r="O14">
        <v>25287000</v>
      </c>
      <c r="P14">
        <v>97042817</v>
      </c>
      <c r="Q14">
        <v>18808622</v>
      </c>
      <c r="R14">
        <v>14959847</v>
      </c>
      <c r="S14">
        <v>164028813</v>
      </c>
      <c r="T14">
        <v>82295375</v>
      </c>
      <c r="U14">
        <v>175698951</v>
      </c>
      <c r="V14">
        <v>35740000</v>
      </c>
      <c r="W14">
        <v>21330500</v>
      </c>
      <c r="X14">
        <v>8494190</v>
      </c>
    </row>
    <row r="15" spans="1:24">
      <c r="A15" s="105">
        <v>2006</v>
      </c>
      <c r="B15">
        <v>307353059</v>
      </c>
      <c r="C15">
        <v>179651835</v>
      </c>
      <c r="D15">
        <v>56890700</v>
      </c>
      <c r="E15">
        <v>119912500</v>
      </c>
      <c r="F15">
        <v>64213376</v>
      </c>
      <c r="G15">
        <v>251089073</v>
      </c>
      <c r="H15">
        <v>4961480</v>
      </c>
      <c r="I15">
        <v>4557000</v>
      </c>
      <c r="J15">
        <v>378810187</v>
      </c>
      <c r="K15">
        <v>126196684</v>
      </c>
      <c r="L15">
        <v>36858492</v>
      </c>
      <c r="M15">
        <v>309342942</v>
      </c>
      <c r="N15">
        <v>25734400</v>
      </c>
      <c r="O15">
        <v>24544970</v>
      </c>
      <c r="P15">
        <v>59480725</v>
      </c>
      <c r="Q15">
        <v>32301375</v>
      </c>
      <c r="R15">
        <v>29207250</v>
      </c>
      <c r="S15">
        <v>187867243</v>
      </c>
      <c r="T15">
        <v>14156600</v>
      </c>
      <c r="U15">
        <v>436136329</v>
      </c>
      <c r="V15">
        <v>61000000</v>
      </c>
      <c r="W15">
        <v>82439603</v>
      </c>
      <c r="X15">
        <v>28643097</v>
      </c>
    </row>
    <row r="16" spans="1:24">
      <c r="A16" s="105">
        <v>2011</v>
      </c>
      <c r="B16">
        <v>267202720</v>
      </c>
      <c r="C16">
        <v>194132372</v>
      </c>
      <c r="D16">
        <v>52356966</v>
      </c>
      <c r="E16">
        <v>274363385</v>
      </c>
      <c r="F16">
        <v>29922391</v>
      </c>
      <c r="G16">
        <v>52162055</v>
      </c>
      <c r="H16">
        <v>8706000</v>
      </c>
      <c r="I16">
        <v>28552707</v>
      </c>
      <c r="J16">
        <v>283018691</v>
      </c>
      <c r="K16">
        <v>94010912</v>
      </c>
      <c r="L16">
        <v>30558055</v>
      </c>
      <c r="M16">
        <v>222206342</v>
      </c>
      <c r="N16">
        <v>33011400</v>
      </c>
      <c r="O16">
        <v>20772600</v>
      </c>
      <c r="P16">
        <v>8317000</v>
      </c>
      <c r="Q16">
        <v>24737653</v>
      </c>
      <c r="R16">
        <v>24173875</v>
      </c>
      <c r="S16">
        <v>171376711</v>
      </c>
      <c r="T16">
        <v>28095665</v>
      </c>
      <c r="U16">
        <v>255696792</v>
      </c>
      <c r="V16">
        <v>132171500</v>
      </c>
      <c r="W16">
        <v>254413737</v>
      </c>
      <c r="X16">
        <v>12965181</v>
      </c>
    </row>
    <row r="17" spans="1:24">
      <c r="A17" s="105">
        <v>2016</v>
      </c>
      <c r="B17">
        <v>352189160</v>
      </c>
      <c r="C17">
        <v>222542169</v>
      </c>
      <c r="D17">
        <v>192096363</v>
      </c>
      <c r="E17">
        <v>303690096</v>
      </c>
      <c r="F17">
        <v>81035369</v>
      </c>
      <c r="G17">
        <v>221963733</v>
      </c>
      <c r="H17">
        <v>7221200</v>
      </c>
      <c r="I17">
        <v>29377362</v>
      </c>
      <c r="J17">
        <v>680937508</v>
      </c>
      <c r="K17">
        <v>99394085</v>
      </c>
      <c r="L17">
        <v>55175470</v>
      </c>
      <c r="M17">
        <v>376886605</v>
      </c>
      <c r="N17">
        <v>87542203</v>
      </c>
      <c r="O17">
        <v>125603517</v>
      </c>
      <c r="P17">
        <v>135386990</v>
      </c>
      <c r="Q17">
        <v>42796750</v>
      </c>
      <c r="R17">
        <v>30594000</v>
      </c>
      <c r="S17">
        <v>582259599</v>
      </c>
      <c r="T17">
        <v>24838750</v>
      </c>
      <c r="U17">
        <v>579130137</v>
      </c>
      <c r="V17">
        <v>66957250</v>
      </c>
      <c r="W17">
        <v>272309550</v>
      </c>
      <c r="X17">
        <v>7647472</v>
      </c>
    </row>
    <row r="18" spans="1:24">
      <c r="A18" s="105">
        <v>2021</v>
      </c>
      <c r="B18">
        <v>1066780545</v>
      </c>
      <c r="C18">
        <v>296170114</v>
      </c>
      <c r="D18">
        <v>349396366</v>
      </c>
      <c r="E18">
        <v>440164223</v>
      </c>
      <c r="F18">
        <v>216496800</v>
      </c>
      <c r="G18">
        <v>269399921</v>
      </c>
      <c r="H18">
        <v>17542000</v>
      </c>
      <c r="I18">
        <v>998000</v>
      </c>
      <c r="J18">
        <v>482084721</v>
      </c>
      <c r="K18">
        <v>234236401</v>
      </c>
      <c r="L18">
        <v>55313626</v>
      </c>
      <c r="M18">
        <v>372861731</v>
      </c>
      <c r="N18">
        <v>61090430</v>
      </c>
      <c r="O18">
        <v>92965088</v>
      </c>
      <c r="P18">
        <v>99465000</v>
      </c>
      <c r="Q18">
        <v>79002000</v>
      </c>
      <c r="R18">
        <v>31318500</v>
      </c>
      <c r="S18">
        <v>632773060</v>
      </c>
      <c r="T18">
        <v>96847100</v>
      </c>
      <c r="U18">
        <v>955190534</v>
      </c>
      <c r="V18">
        <v>107448466</v>
      </c>
      <c r="W18">
        <v>369880000</v>
      </c>
      <c r="X18">
        <v>22095479</v>
      </c>
    </row>
    <row r="19" spans="1:24">
      <c r="A19" s="105"/>
    </row>
    <row r="20" spans="1:24">
      <c r="A20" s="105" t="s">
        <v>549</v>
      </c>
      <c r="B20" s="104" t="s">
        <v>552</v>
      </c>
    </row>
    <row r="21" spans="1:24">
      <c r="A21" s="105">
        <v>1991</v>
      </c>
      <c r="B21">
        <v>172295</v>
      </c>
      <c r="C21">
        <v>423793</v>
      </c>
      <c r="D21">
        <v>15594</v>
      </c>
      <c r="E21">
        <v>22550</v>
      </c>
      <c r="F21">
        <v>5819</v>
      </c>
      <c r="G21">
        <v>8114</v>
      </c>
      <c r="H21">
        <v>6366</v>
      </c>
      <c r="I21" t="s">
        <v>41</v>
      </c>
      <c r="J21">
        <v>66178</v>
      </c>
      <c r="K21">
        <v>54805</v>
      </c>
      <c r="L21">
        <v>7451</v>
      </c>
      <c r="M21">
        <v>100350</v>
      </c>
      <c r="N21">
        <v>7503</v>
      </c>
      <c r="O21" t="s">
        <v>41</v>
      </c>
      <c r="P21">
        <v>174</v>
      </c>
      <c r="Q21">
        <v>17878</v>
      </c>
      <c r="R21">
        <v>8816</v>
      </c>
      <c r="S21">
        <v>15276</v>
      </c>
      <c r="T21" t="s">
        <v>41</v>
      </c>
      <c r="U21">
        <v>149206</v>
      </c>
      <c r="V21" t="s">
        <v>41</v>
      </c>
      <c r="W21">
        <v>2754</v>
      </c>
      <c r="X21">
        <v>2197</v>
      </c>
    </row>
    <row r="22" spans="1:24">
      <c r="A22" s="105">
        <v>1996</v>
      </c>
      <c r="B22">
        <v>468020</v>
      </c>
      <c r="C22">
        <v>703000</v>
      </c>
      <c r="D22">
        <v>25622</v>
      </c>
      <c r="E22">
        <v>7277</v>
      </c>
      <c r="F22">
        <v>13345</v>
      </c>
      <c r="G22">
        <v>119671</v>
      </c>
      <c r="H22">
        <v>4084</v>
      </c>
      <c r="I22">
        <v>8695</v>
      </c>
      <c r="J22">
        <v>150085</v>
      </c>
      <c r="K22">
        <v>201275</v>
      </c>
      <c r="L22">
        <v>27332</v>
      </c>
      <c r="M22">
        <v>192079</v>
      </c>
      <c r="N22">
        <v>8808</v>
      </c>
      <c r="O22">
        <v>2567</v>
      </c>
      <c r="P22">
        <v>750</v>
      </c>
      <c r="Q22">
        <v>13444</v>
      </c>
      <c r="R22">
        <v>30265</v>
      </c>
      <c r="S22">
        <v>100143</v>
      </c>
      <c r="T22">
        <v>69391</v>
      </c>
      <c r="U22">
        <v>566040</v>
      </c>
      <c r="V22">
        <v>6063</v>
      </c>
      <c r="W22">
        <v>52798</v>
      </c>
      <c r="X22">
        <v>11026</v>
      </c>
    </row>
    <row r="23" spans="1:24">
      <c r="A23" s="105">
        <v>2001</v>
      </c>
      <c r="B23">
        <v>448435</v>
      </c>
      <c r="C23">
        <v>964237</v>
      </c>
      <c r="D23">
        <v>13248</v>
      </c>
      <c r="E23">
        <v>106386</v>
      </c>
      <c r="F23">
        <v>25220</v>
      </c>
      <c r="G23">
        <v>102329</v>
      </c>
      <c r="H23">
        <v>3849</v>
      </c>
      <c r="I23">
        <v>7203</v>
      </c>
      <c r="J23">
        <v>130712</v>
      </c>
      <c r="K23">
        <v>100910</v>
      </c>
      <c r="L23">
        <v>17162</v>
      </c>
      <c r="M23">
        <v>161580</v>
      </c>
      <c r="N23">
        <v>14045</v>
      </c>
      <c r="O23">
        <v>7122</v>
      </c>
      <c r="P23">
        <v>3167</v>
      </c>
      <c r="Q23">
        <v>24191</v>
      </c>
      <c r="R23">
        <v>18694</v>
      </c>
      <c r="S23">
        <v>155838</v>
      </c>
      <c r="T23">
        <v>92199</v>
      </c>
      <c r="U23">
        <v>443215</v>
      </c>
      <c r="V23">
        <v>35606</v>
      </c>
      <c r="W23">
        <v>24005</v>
      </c>
      <c r="X23">
        <v>3820</v>
      </c>
    </row>
    <row r="24" spans="1:24">
      <c r="A24" s="105">
        <v>2006</v>
      </c>
      <c r="B24">
        <v>464242</v>
      </c>
      <c r="C24">
        <v>829879</v>
      </c>
      <c r="D24">
        <v>23673</v>
      </c>
      <c r="E24">
        <v>30355</v>
      </c>
      <c r="F24">
        <v>35895</v>
      </c>
      <c r="G24">
        <v>149242</v>
      </c>
      <c r="H24">
        <v>3831</v>
      </c>
      <c r="I24">
        <v>806</v>
      </c>
      <c r="J24">
        <v>221248</v>
      </c>
      <c r="K24">
        <v>53080</v>
      </c>
      <c r="L24">
        <v>22849</v>
      </c>
      <c r="M24">
        <v>260687</v>
      </c>
      <c r="N24">
        <v>20241</v>
      </c>
      <c r="O24">
        <v>6558</v>
      </c>
      <c r="P24">
        <v>39403</v>
      </c>
      <c r="Q24">
        <v>21945</v>
      </c>
      <c r="R24">
        <v>21737</v>
      </c>
      <c r="S24">
        <v>132825</v>
      </c>
      <c r="T24">
        <v>20888</v>
      </c>
      <c r="U24">
        <v>715560</v>
      </c>
      <c r="V24">
        <v>19917</v>
      </c>
      <c r="W24">
        <v>12733</v>
      </c>
      <c r="X24">
        <v>2359</v>
      </c>
    </row>
    <row r="25" spans="1:24">
      <c r="A25" s="105">
        <v>2011</v>
      </c>
      <c r="B25">
        <v>243051</v>
      </c>
      <c r="C25">
        <v>689598</v>
      </c>
      <c r="D25">
        <v>23590</v>
      </c>
      <c r="E25">
        <v>60885</v>
      </c>
      <c r="F25">
        <v>24630</v>
      </c>
      <c r="G25">
        <v>29173</v>
      </c>
      <c r="H25">
        <v>5905</v>
      </c>
      <c r="I25">
        <v>11791</v>
      </c>
      <c r="J25">
        <v>180745</v>
      </c>
      <c r="K25">
        <v>39235</v>
      </c>
      <c r="L25">
        <v>16093</v>
      </c>
      <c r="M25">
        <v>224462</v>
      </c>
      <c r="N25">
        <v>21908</v>
      </c>
      <c r="O25">
        <v>5969</v>
      </c>
      <c r="P25">
        <v>7214</v>
      </c>
      <c r="Q25">
        <v>16152</v>
      </c>
      <c r="R25">
        <v>10715</v>
      </c>
      <c r="S25">
        <v>95493</v>
      </c>
      <c r="T25">
        <v>19659</v>
      </c>
      <c r="U25">
        <v>403082</v>
      </c>
      <c r="V25">
        <v>55314</v>
      </c>
      <c r="W25">
        <v>103716</v>
      </c>
      <c r="X25">
        <v>5366</v>
      </c>
    </row>
    <row r="26" spans="1:24">
      <c r="A26" s="105">
        <v>2016</v>
      </c>
      <c r="B26">
        <v>326114</v>
      </c>
      <c r="C26">
        <v>727218</v>
      </c>
      <c r="D26">
        <v>67281</v>
      </c>
      <c r="E26">
        <v>22539</v>
      </c>
      <c r="F26">
        <v>34913</v>
      </c>
      <c r="G26">
        <v>55423</v>
      </c>
      <c r="H26">
        <v>3826</v>
      </c>
      <c r="I26">
        <v>5330</v>
      </c>
      <c r="J26">
        <v>258113</v>
      </c>
      <c r="K26">
        <v>46406</v>
      </c>
      <c r="L26">
        <v>16698</v>
      </c>
      <c r="M26">
        <v>202977</v>
      </c>
      <c r="N26">
        <v>38504</v>
      </c>
      <c r="O26">
        <v>10138</v>
      </c>
      <c r="P26">
        <v>19087</v>
      </c>
      <c r="Q26">
        <v>18867</v>
      </c>
      <c r="R26">
        <v>13459</v>
      </c>
      <c r="S26">
        <v>153904</v>
      </c>
      <c r="T26">
        <v>12019</v>
      </c>
      <c r="U26">
        <v>550293</v>
      </c>
      <c r="V26">
        <v>23463</v>
      </c>
      <c r="W26">
        <v>57638</v>
      </c>
      <c r="X26">
        <v>4058</v>
      </c>
    </row>
    <row r="27" spans="1:24">
      <c r="A27" s="105">
        <v>2021</v>
      </c>
      <c r="B27">
        <v>463597</v>
      </c>
      <c r="C27">
        <v>841174</v>
      </c>
      <c r="D27">
        <v>81858</v>
      </c>
      <c r="E27">
        <v>43882</v>
      </c>
      <c r="F27">
        <v>64578</v>
      </c>
      <c r="G27">
        <v>56355</v>
      </c>
      <c r="H27">
        <v>5109</v>
      </c>
      <c r="I27">
        <v>330</v>
      </c>
      <c r="J27">
        <v>133334</v>
      </c>
      <c r="K27">
        <v>46179</v>
      </c>
      <c r="L27">
        <v>11640</v>
      </c>
      <c r="M27">
        <v>193577</v>
      </c>
      <c r="N27">
        <v>19700</v>
      </c>
      <c r="O27">
        <v>9754</v>
      </c>
      <c r="P27">
        <v>13355</v>
      </c>
      <c r="Q27">
        <v>17391</v>
      </c>
      <c r="R27">
        <v>7093</v>
      </c>
      <c r="S27">
        <v>166927</v>
      </c>
      <c r="T27">
        <v>18296</v>
      </c>
      <c r="U27">
        <v>781306</v>
      </c>
      <c r="V27">
        <v>30083</v>
      </c>
      <c r="W27">
        <v>61470</v>
      </c>
      <c r="X27">
        <v>2333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234ea2f-3752-441e-ae2e-1bc507ae216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338BE9AF95D2A4D8BE41046F1CDCF26" ma:contentTypeVersion="10" ma:contentTypeDescription="Create a new document." ma:contentTypeScope="" ma:versionID="5b185ca38360ba3b7de375f3927bb291">
  <xsd:schema xmlns:xsd="http://www.w3.org/2001/XMLSchema" xmlns:xs="http://www.w3.org/2001/XMLSchema" xmlns:p="http://schemas.microsoft.com/office/2006/metadata/properties" xmlns:ns2="9234ea2f-3752-441e-ae2e-1bc507ae216a" targetNamespace="http://schemas.microsoft.com/office/2006/metadata/properties" ma:root="true" ma:fieldsID="10fcf45fc396e01fa27c9c5c99577634" ns2:_="">
    <xsd:import namespace="9234ea2f-3752-441e-ae2e-1bc507ae216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34ea2f-3752-441e-ae2e-1bc507ae216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7985f202-651a-4356-97e7-25d4790ca553"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7931F25-EFB6-479B-BE97-294FB00F69FE}">
  <ds:schemaRefs>
    <ds:schemaRef ds:uri="http://schemas.microsoft.com/office/infopath/2007/PartnerControls"/>
    <ds:schemaRef ds:uri="http://www.w3.org/XML/1998/namespace"/>
    <ds:schemaRef ds:uri="http://purl.org/dc/elements/1.1/"/>
    <ds:schemaRef ds:uri="http://schemas.openxmlformats.org/package/2006/metadata/core-properties"/>
    <ds:schemaRef ds:uri="http://purl.org/dc/dcmitype/"/>
    <ds:schemaRef ds:uri="http://schemas.microsoft.com/office/2006/metadata/properties"/>
    <ds:schemaRef ds:uri="http://schemas.microsoft.com/office/2006/documentManagement/types"/>
    <ds:schemaRef ds:uri="http://purl.org/dc/terms/"/>
    <ds:schemaRef ds:uri="9234ea2f-3752-441e-ae2e-1bc507ae216a"/>
  </ds:schemaRefs>
</ds:datastoreItem>
</file>

<file path=customXml/itemProps2.xml><?xml version="1.0" encoding="utf-8"?>
<ds:datastoreItem xmlns:ds="http://schemas.openxmlformats.org/officeDocument/2006/customXml" ds:itemID="{648E11D5-540C-4758-B79B-7BE72510533E}">
  <ds:schemaRefs>
    <ds:schemaRef ds:uri="http://schemas.microsoft.com/sharepoint/v3/contenttype/forms"/>
  </ds:schemaRefs>
</ds:datastoreItem>
</file>

<file path=customXml/itemProps3.xml><?xml version="1.0" encoding="utf-8"?>
<ds:datastoreItem xmlns:ds="http://schemas.openxmlformats.org/officeDocument/2006/customXml" ds:itemID="{6FB266AC-DD3E-4030-8BD8-9673F8B5EF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34ea2f-3752-441e-ae2e-1bc507ae21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Summary</vt:lpstr>
      <vt:lpstr>Material Input</vt:lpstr>
      <vt:lpstr>Construction</vt:lpstr>
      <vt:lpstr>Material Mass Calc.</vt:lpstr>
      <vt:lpstr>Demolition</vt:lpstr>
      <vt:lpstr>Material Output</vt:lpstr>
      <vt:lpstr>Building Consents</vt:lpstr>
      <vt:lpstr>Commercial consent detail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Grace</dc:creator>
  <cp:keywords/>
  <dc:description/>
  <cp:lastModifiedBy>Naomi Pocock</cp:lastModifiedBy>
  <cp:revision/>
  <dcterms:created xsi:type="dcterms:W3CDTF">2022-06-17T02:44:21Z</dcterms:created>
  <dcterms:modified xsi:type="dcterms:W3CDTF">2022-10-17T23:11:19Z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0x0101003338BE9AF95D2A4D8BE41046F1CDCF26</vt:lpwstr>
  </property>
  <property fmtid="{D5CDD505-2E9C-101B-9397-08002B2CF9AE}" pid="3" name="MediaServiceImageTags">
    <vt:lpwstr/>
  </property>
</Properties>
</file>