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m16\Google Drive\aaTHESIS\lab work\geomechanical properties\Matua\"/>
    </mc:Choice>
  </mc:AlternateContent>
  <bookViews>
    <workbookView xWindow="375" yWindow="-45" windowWidth="18480" windowHeight="12465" firstSheet="1" activeTab="3"/>
  </bookViews>
  <sheets>
    <sheet name="moisture content and atterberg" sheetId="1" r:id="rId1"/>
    <sheet name="bulk density" sheetId="2" r:id="rId2"/>
    <sheet name="particle density" sheetId="3" r:id="rId3"/>
    <sheet name="shear vane results" sheetId="5" r:id="rId4"/>
  </sheets>
  <calcPr calcId="152511"/>
</workbook>
</file>

<file path=xl/calcChain.xml><?xml version="1.0" encoding="utf-8"?>
<calcChain xmlns="http://schemas.openxmlformats.org/spreadsheetml/2006/main">
  <c r="D13" i="5" l="1"/>
  <c r="C13" i="5"/>
  <c r="B13" i="5"/>
  <c r="D12" i="5"/>
  <c r="D2" i="5"/>
  <c r="D3" i="5"/>
  <c r="D4" i="5"/>
  <c r="D5" i="5"/>
  <c r="D6" i="5"/>
  <c r="D7" i="5"/>
  <c r="D8" i="5"/>
  <c r="D9" i="5"/>
  <c r="D10" i="5"/>
  <c r="D11" i="5"/>
  <c r="J30" i="2" l="1"/>
  <c r="I30" i="2"/>
  <c r="H30" i="2"/>
  <c r="G30" i="2"/>
  <c r="F30" i="2"/>
  <c r="E30" i="2"/>
  <c r="J27" i="2"/>
  <c r="J32" i="2" s="1"/>
  <c r="I27" i="2"/>
  <c r="I32" i="2" s="1"/>
  <c r="H27" i="2"/>
  <c r="H32" i="2" s="1"/>
  <c r="G27" i="2"/>
  <c r="G32" i="2" s="1"/>
  <c r="F27" i="2"/>
  <c r="F32" i="2" s="1"/>
  <c r="E27" i="2"/>
  <c r="E32" i="2" s="1"/>
  <c r="J15" i="2"/>
  <c r="I15" i="2"/>
  <c r="H15" i="2"/>
  <c r="G15" i="2"/>
  <c r="F15" i="2"/>
  <c r="E15" i="2"/>
  <c r="R9" i="2"/>
  <c r="Q9" i="2"/>
  <c r="P9" i="2"/>
  <c r="O9" i="2"/>
  <c r="N9" i="2"/>
  <c r="M9" i="2"/>
  <c r="J12" i="2"/>
  <c r="J17" i="2" s="1"/>
  <c r="I12" i="2"/>
  <c r="I17" i="2" s="1"/>
  <c r="H12" i="2"/>
  <c r="H17" i="2" s="1"/>
  <c r="G12" i="2"/>
  <c r="G17" i="2" s="1"/>
  <c r="F12" i="2"/>
  <c r="F17" i="2" s="1"/>
  <c r="E12" i="2"/>
  <c r="E17" i="2" s="1"/>
  <c r="E18" i="2" l="1"/>
  <c r="G18" i="2"/>
  <c r="I18" i="2"/>
  <c r="E33" i="2"/>
  <c r="G33" i="2"/>
  <c r="G19" i="2" s="1"/>
  <c r="I33" i="2"/>
  <c r="F18" i="2"/>
  <c r="H18" i="2"/>
  <c r="J18" i="2"/>
  <c r="F33" i="2"/>
  <c r="F19" i="2" s="1"/>
  <c r="H33" i="2"/>
  <c r="H19" i="2" s="1"/>
  <c r="J33" i="2"/>
  <c r="E36" i="2" l="1"/>
  <c r="E35" i="2"/>
  <c r="E19" i="2"/>
  <c r="E21" i="2" l="1"/>
  <c r="E20" i="2"/>
  <c r="C39" i="2" l="1"/>
  <c r="C41" i="2"/>
  <c r="C47" i="2" s="1"/>
  <c r="C40" i="2"/>
  <c r="C46" i="2" s="1"/>
  <c r="C42" i="2"/>
  <c r="C48" i="2" s="1"/>
  <c r="B49" i="1"/>
  <c r="B51" i="1" s="1"/>
  <c r="B53" i="1" s="1"/>
  <c r="G21" i="1"/>
  <c r="E12" i="1"/>
  <c r="E11" i="1"/>
  <c r="E13" i="1" s="1"/>
  <c r="E10" i="1"/>
  <c r="E5" i="1"/>
  <c r="E4" i="1"/>
  <c r="E3" i="1"/>
  <c r="E6" i="1" s="1"/>
  <c r="B54" i="1" s="1"/>
  <c r="C45" i="2" l="1"/>
  <c r="C49" i="2" s="1"/>
  <c r="C43" i="2"/>
  <c r="B52" i="1"/>
  <c r="E14" i="1"/>
  <c r="E7" i="1"/>
  <c r="C12" i="5" l="1"/>
  <c r="B12" i="5"/>
  <c r="F3" i="3" l="1"/>
  <c r="G3" i="3" s="1"/>
  <c r="F4" i="3"/>
  <c r="G4" i="3" s="1"/>
  <c r="F2" i="3"/>
  <c r="F6" i="3" l="1"/>
  <c r="G2" i="3"/>
  <c r="G6" i="3" s="1"/>
  <c r="G40" i="1"/>
  <c r="G35" i="1"/>
  <c r="G30" i="1"/>
  <c r="G26" i="1"/>
  <c r="B45" i="1"/>
  <c r="B39" i="1"/>
  <c r="B34" i="1"/>
  <c r="B29" i="1"/>
  <c r="B25" i="1"/>
  <c r="F5" i="3" l="1"/>
  <c r="G5" i="3" s="1"/>
</calcChain>
</file>

<file path=xl/sharedStrings.xml><?xml version="1.0" encoding="utf-8"?>
<sst xmlns="http://schemas.openxmlformats.org/spreadsheetml/2006/main" count="123" uniqueCount="96">
  <si>
    <t>moisture content</t>
  </si>
  <si>
    <t>moisture content (ml)</t>
  </si>
  <si>
    <t>container wt (g)</t>
  </si>
  <si>
    <t>container + wet weight (g)</t>
  </si>
  <si>
    <t>wet weight + container (g)</t>
  </si>
  <si>
    <t>Cone drop readings (mm)</t>
  </si>
  <si>
    <t xml:space="preserve">container + wet (g) </t>
  </si>
  <si>
    <t>24 hour</t>
  </si>
  <si>
    <t>48 hour</t>
  </si>
  <si>
    <t>container weight (g)</t>
  </si>
  <si>
    <t>ave mm reading</t>
  </si>
  <si>
    <t>moisture content (%)</t>
  </si>
  <si>
    <t>particle density</t>
  </si>
  <si>
    <t>porosity (%)</t>
  </si>
  <si>
    <t>voids ratio</t>
  </si>
  <si>
    <t>bottle + stopper (g)</t>
  </si>
  <si>
    <t>soil bottle stopper (g)</t>
  </si>
  <si>
    <t>bottle + stopper + soil+ liquid (g)</t>
  </si>
  <si>
    <t>bottle + stopper + liquid (g)</t>
  </si>
  <si>
    <t>Sample</t>
  </si>
  <si>
    <t>Moisture content (%)</t>
  </si>
  <si>
    <t>Liquid Limit (%)</t>
  </si>
  <si>
    <t>Plastic Limit (%)</t>
  </si>
  <si>
    <t>Activity (%)</t>
  </si>
  <si>
    <t>Matua</t>
  </si>
  <si>
    <t>container + wet weight (g) after 4 days</t>
  </si>
  <si>
    <t>AVERAGE</t>
  </si>
  <si>
    <t>Std ERROR</t>
  </si>
  <si>
    <t>dry weight + container after 4 days</t>
  </si>
  <si>
    <t>plastic limit (%)2</t>
  </si>
  <si>
    <t>StD ERROR</t>
  </si>
  <si>
    <t>1a</t>
  </si>
  <si>
    <t>1b</t>
  </si>
  <si>
    <t>1c</t>
  </si>
  <si>
    <t>1d</t>
  </si>
  <si>
    <t>2a</t>
  </si>
  <si>
    <t>2b</t>
  </si>
  <si>
    <t>2c</t>
  </si>
  <si>
    <t>3a</t>
  </si>
  <si>
    <t>3b</t>
  </si>
  <si>
    <t>3c</t>
  </si>
  <si>
    <t>3d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</si>
  <si>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</si>
  <si>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</si>
  <si>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</si>
  <si>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</si>
  <si>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</si>
  <si>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</si>
  <si>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</si>
  <si>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</si>
  <si>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</si>
  <si>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Results summary</t>
  </si>
  <si>
    <t>Column1</t>
  </si>
  <si>
    <t>Plasticity Index (%)</t>
  </si>
  <si>
    <t>Liquidity Index (%)</t>
  </si>
  <si>
    <t>BULK DENSITY TEST RESULTS</t>
  </si>
  <si>
    <t>PROJECT:</t>
  </si>
  <si>
    <t>LOCATION:</t>
  </si>
  <si>
    <t>Base of landslide</t>
  </si>
  <si>
    <t>SITE NO:</t>
  </si>
  <si>
    <t>White-pink silty CLAY</t>
  </si>
  <si>
    <t>CO-ORDINATES: mN</t>
  </si>
  <si>
    <t>SAMPLE NO:</t>
  </si>
  <si>
    <t xml:space="preserve">     mE</t>
  </si>
  <si>
    <t>DRY BULK DENSITY</t>
  </si>
  <si>
    <t>ring 1 volume</t>
  </si>
  <si>
    <t>ring 2 volume</t>
  </si>
  <si>
    <t>ring 3 volume</t>
  </si>
  <si>
    <t>Length of sample (mm):</t>
  </si>
  <si>
    <t>diameter</t>
  </si>
  <si>
    <t>length</t>
  </si>
  <si>
    <t>Diameter of sample (mm):</t>
  </si>
  <si>
    <t>Volume of corer (m3):</t>
  </si>
  <si>
    <t>Mass of ring + trays + dry soil (g):</t>
  </si>
  <si>
    <t>Mass of ring + trays (g):</t>
  </si>
  <si>
    <t>mean</t>
  </si>
  <si>
    <t>Mass of soil (kg):</t>
  </si>
  <si>
    <t>Volume of soil (m3):</t>
  </si>
  <si>
    <t>Dry bulk density (kg  m-3):</t>
  </si>
  <si>
    <t>Dry bulk density (kg  m-3) (Pip)</t>
  </si>
  <si>
    <t xml:space="preserve">AVERAGE DRY BULK DENSITY = </t>
  </si>
  <si>
    <t>standard error</t>
  </si>
  <si>
    <t>BULK DENSITY</t>
  </si>
  <si>
    <t>Mass of ring + moist soil (g):</t>
  </si>
  <si>
    <t>Mass of ring (g):</t>
  </si>
  <si>
    <t>Bulk density (kg  m-3):</t>
  </si>
  <si>
    <t xml:space="preserve">AVERAGE FIELD MOIST BULK DENSITY = </t>
  </si>
  <si>
    <t>Volume of birdseed (ml):</t>
    <phoneticPr fontId="0" type="noConversion"/>
  </si>
  <si>
    <t>Column2</t>
  </si>
  <si>
    <t>Peak  (Kpa)</t>
  </si>
  <si>
    <t>remoulded (Kpa)</t>
  </si>
  <si>
    <t>average</t>
  </si>
  <si>
    <t>st error</t>
  </si>
  <si>
    <t>Average</t>
  </si>
  <si>
    <t>St Error</t>
  </si>
  <si>
    <t>Sensitivity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</si>
</sst>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"/>
    <numFmt numFmtId="166" formatCode="0.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sz val="10"/>
      <name val="Palatino"/>
    </font>
    <font>
      <sz val="16"/>
      <name val="Arial"/>
      <family val="2"/>
    </font>
    <font>
      <sz val="16"/>
      <name val="Geneva"/>
    </font>
    <font>
      <b/>
      <sz val="10"/>
      <name val="Palatino"/>
    </font>
    <font>
      <b/>
      <sz val="10"/>
      <name val="Arial"/>
      <family val="2"/>
    </font>
    <font>
      <b/>
      <sz val="10"/>
      <name val="Geneva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6"/>
        <bgColor indexed="64"/>
      </patternFill>
    </fill>
    <fill>
      <patternFill patternType="lightGray"/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2" borderId="0" applyNumberFormat="0" applyBorder="0" applyAlignment="0" applyProtection="0"/>
    <xf numFmtId="0" fontId="5" fillId="3" borderId="1" applyNumberFormat="0" applyAlignment="0" applyProtection="0"/>
    <xf numFmtId="0" fontId="3" fillId="4" borderId="2" applyNumberFormat="0" applyFont="0" applyAlignment="0" applyProtection="0"/>
    <xf numFmtId="0" fontId="10" fillId="0" borderId="0"/>
    <xf numFmtId="0" fontId="7" fillId="0" borderId="0"/>
    <xf numFmtId="165" fontId="7" fillId="0" borderId="22">
      <alignment horizontal="center"/>
    </xf>
    <xf numFmtId="2" fontId="7" fillId="7" borderId="19" applyFill="0" applyBorder="0">
      <alignment horizontal="center"/>
    </xf>
  </cellStyleXfs>
  <cellXfs count="90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 applyAlignment="1">
      <alignment horizontal="center" vertical="center" readingOrder="1"/>
    </xf>
    <xf numFmtId="0" fontId="4" fillId="2" borderId="3" xfId="1" applyBorder="1"/>
    <xf numFmtId="0" fontId="5" fillId="3" borderId="1" xfId="2"/>
    <xf numFmtId="0" fontId="4" fillId="2" borderId="0" xfId="1"/>
    <xf numFmtId="0" fontId="0" fillId="5" borderId="3" xfId="0" applyFont="1" applyFill="1" applyBorder="1"/>
    <xf numFmtId="0" fontId="0" fillId="0" borderId="3" xfId="0" applyFont="1" applyBorder="1"/>
    <xf numFmtId="0" fontId="1" fillId="0" borderId="4" xfId="0" applyFont="1" applyBorder="1"/>
    <xf numFmtId="0" fontId="1" fillId="0" borderId="3" xfId="0" applyFont="1" applyBorder="1"/>
    <xf numFmtId="0" fontId="5" fillId="3" borderId="1" xfId="2" applyFont="1"/>
    <xf numFmtId="0" fontId="5" fillId="3" borderId="1" xfId="2" applyNumberFormat="1" applyFont="1"/>
    <xf numFmtId="2" fontId="0" fillId="0" borderId="0" xfId="0" applyNumberFormat="1"/>
    <xf numFmtId="0" fontId="6" fillId="0" borderId="0" xfId="0" applyFont="1"/>
    <xf numFmtId="166" fontId="6" fillId="0" borderId="0" xfId="0" applyNumberFormat="1" applyFont="1" applyAlignment="1">
      <alignment horizontal="center"/>
    </xf>
    <xf numFmtId="166" fontId="6" fillId="0" borderId="0" xfId="0" applyNumberFormat="1" applyFont="1" applyBorder="1" applyAlignment="1"/>
    <xf numFmtId="1" fontId="7" fillId="0" borderId="0" xfId="0" applyNumberFormat="1" applyFont="1" applyBorder="1"/>
    <xf numFmtId="0" fontId="7" fillId="0" borderId="0" xfId="0" applyFont="1" applyBorder="1"/>
    <xf numFmtId="0" fontId="0" fillId="0" borderId="0" xfId="0" applyBorder="1"/>
    <xf numFmtId="0" fontId="8" fillId="0" borderId="0" xfId="0" applyFont="1"/>
    <xf numFmtId="166" fontId="8" fillId="0" borderId="0" xfId="0" applyNumberFormat="1" applyFont="1" applyAlignment="1">
      <alignment horizontal="center"/>
    </xf>
    <xf numFmtId="166" fontId="8" fillId="0" borderId="0" xfId="0" applyNumberFormat="1" applyFont="1" applyBorder="1" applyAlignment="1"/>
    <xf numFmtId="2" fontId="8" fillId="0" borderId="0" xfId="0" applyNumberFormat="1" applyFont="1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/>
    <xf numFmtId="166" fontId="6" fillId="0" borderId="0" xfId="0" applyNumberFormat="1" applyFont="1" applyBorder="1"/>
    <xf numFmtId="0" fontId="6" fillId="0" borderId="0" xfId="0" applyFont="1" applyBorder="1"/>
    <xf numFmtId="166" fontId="6" fillId="0" borderId="5" xfId="0" applyNumberFormat="1" applyFont="1" applyBorder="1" applyAlignment="1"/>
    <xf numFmtId="166" fontId="6" fillId="6" borderId="6" xfId="0" applyNumberFormat="1" applyFont="1" applyFill="1" applyBorder="1" applyAlignment="1"/>
    <xf numFmtId="166" fontId="6" fillId="0" borderId="6" xfId="0" applyNumberFormat="1" applyFont="1" applyBorder="1" applyAlignment="1"/>
    <xf numFmtId="166" fontId="6" fillId="0" borderId="7" xfId="0" applyNumberFormat="1" applyFont="1" applyBorder="1" applyAlignment="1"/>
    <xf numFmtId="0" fontId="7" fillId="0" borderId="0" xfId="0" applyFont="1"/>
    <xf numFmtId="166" fontId="6" fillId="0" borderId="8" xfId="0" applyNumberFormat="1" applyFont="1" applyBorder="1" applyAlignment="1"/>
    <xf numFmtId="1" fontId="6" fillId="6" borderId="9" xfId="0" applyNumberFormat="1" applyFont="1" applyFill="1" applyBorder="1" applyAlignment="1"/>
    <xf numFmtId="166" fontId="6" fillId="6" borderId="9" xfId="0" applyNumberFormat="1" applyFont="1" applyFill="1" applyBorder="1" applyAlignment="1"/>
    <xf numFmtId="166" fontId="6" fillId="0" borderId="10" xfId="0" applyNumberFormat="1" applyFont="1" applyBorder="1" applyAlignment="1"/>
    <xf numFmtId="166" fontId="6" fillId="0" borderId="11" xfId="0" applyNumberFormat="1" applyFont="1" applyBorder="1" applyAlignment="1"/>
    <xf numFmtId="1" fontId="6" fillId="6" borderId="12" xfId="0" applyNumberFormat="1" applyFont="1" applyFill="1" applyBorder="1" applyAlignment="1"/>
    <xf numFmtId="166" fontId="6" fillId="0" borderId="12" xfId="0" applyNumberFormat="1" applyFont="1" applyBorder="1" applyAlignment="1"/>
    <xf numFmtId="166" fontId="6" fillId="0" borderId="12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right"/>
    </xf>
    <xf numFmtId="166" fontId="6" fillId="6" borderId="12" xfId="0" applyNumberFormat="1" applyFont="1" applyFill="1" applyBorder="1" applyAlignment="1"/>
    <xf numFmtId="166" fontId="6" fillId="0" borderId="13" xfId="0" applyNumberFormat="1" applyFont="1" applyBorder="1" applyAlignment="1"/>
    <xf numFmtId="0" fontId="11" fillId="0" borderId="8" xfId="4" applyFont="1" applyBorder="1"/>
    <xf numFmtId="0" fontId="6" fillId="0" borderId="9" xfId="0" applyFont="1" applyBorder="1"/>
    <xf numFmtId="166" fontId="6" fillId="0" borderId="10" xfId="0" applyNumberFormat="1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0" borderId="14" xfId="5" applyFont="1" applyBorder="1" applyAlignment="1">
      <alignment horizontal="center"/>
    </xf>
    <xf numFmtId="0" fontId="6" fillId="0" borderId="15" xfId="5" applyFont="1" applyBorder="1" applyAlignment="1">
      <alignment horizontal="center"/>
    </xf>
    <xf numFmtId="0" fontId="11" fillId="0" borderId="0" xfId="5" applyFont="1" applyBorder="1" applyAlignment="1">
      <alignment horizontal="left"/>
    </xf>
    <xf numFmtId="0" fontId="6" fillId="0" borderId="0" xfId="5" applyFont="1" applyBorder="1" applyAlignment="1">
      <alignment horizontal="left"/>
    </xf>
    <xf numFmtId="0" fontId="6" fillId="0" borderId="16" xfId="5" applyFont="1" applyBorder="1" applyAlignment="1">
      <alignment horizontal="left"/>
    </xf>
    <xf numFmtId="2" fontId="6" fillId="6" borderId="17" xfId="0" applyNumberFormat="1" applyFont="1" applyFill="1" applyBorder="1" applyAlignment="1"/>
    <xf numFmtId="2" fontId="6" fillId="6" borderId="18" xfId="0" applyNumberFormat="1" applyFont="1" applyFill="1" applyBorder="1" applyAlignment="1"/>
    <xf numFmtId="0" fontId="6" fillId="0" borderId="16" xfId="5" applyFont="1" applyBorder="1"/>
    <xf numFmtId="2" fontId="6" fillId="6" borderId="19" xfId="0" applyNumberFormat="1" applyFont="1" applyFill="1" applyBorder="1" applyAlignment="1"/>
    <xf numFmtId="2" fontId="6" fillId="6" borderId="20" xfId="0" applyNumberFormat="1" applyFont="1" applyFill="1" applyBorder="1" applyAlignment="1"/>
    <xf numFmtId="2" fontId="6" fillId="0" borderId="0" xfId="5" applyNumberFormat="1" applyFont="1" applyBorder="1" applyAlignment="1">
      <alignment horizontal="left"/>
    </xf>
    <xf numFmtId="0" fontId="6" fillId="0" borderId="5" xfId="5" applyFont="1" applyBorder="1"/>
    <xf numFmtId="0" fontId="6" fillId="0" borderId="21" xfId="0" applyFont="1" applyBorder="1"/>
    <xf numFmtId="165" fontId="6" fillId="0" borderId="6" xfId="6" applyFont="1" applyBorder="1">
      <alignment horizontal="center"/>
    </xf>
    <xf numFmtId="165" fontId="6" fillId="0" borderId="23" xfId="6" applyFont="1" applyBorder="1">
      <alignment horizontal="center"/>
    </xf>
    <xf numFmtId="165" fontId="6" fillId="0" borderId="24" xfId="6" applyFont="1" applyBorder="1">
      <alignment horizontal="center"/>
    </xf>
    <xf numFmtId="165" fontId="6" fillId="0" borderId="25" xfId="6" applyFont="1" applyBorder="1">
      <alignment horizontal="center"/>
    </xf>
    <xf numFmtId="0" fontId="11" fillId="0" borderId="0" xfId="0" applyFont="1"/>
    <xf numFmtId="166" fontId="11" fillId="0" borderId="0" xfId="0" applyNumberFormat="1" applyFont="1" applyAlignment="1">
      <alignment horizontal="left"/>
    </xf>
    <xf numFmtId="0" fontId="6" fillId="0" borderId="6" xfId="0" applyFont="1" applyBorder="1"/>
    <xf numFmtId="166" fontId="6" fillId="6" borderId="22" xfId="0" applyNumberFormat="1" applyFont="1" applyFill="1" applyBorder="1" applyAlignment="1"/>
    <xf numFmtId="1" fontId="6" fillId="6" borderId="22" xfId="0" applyNumberFormat="1" applyFont="1" applyFill="1" applyBorder="1" applyAlignment="1"/>
    <xf numFmtId="1" fontId="6" fillId="6" borderId="26" xfId="0" applyNumberFormat="1" applyFont="1" applyFill="1" applyBorder="1" applyAlignment="1"/>
    <xf numFmtId="0" fontId="6" fillId="0" borderId="8" xfId="5" applyFont="1" applyBorder="1"/>
    <xf numFmtId="0" fontId="6" fillId="0" borderId="27" xfId="0" applyFont="1" applyBorder="1"/>
    <xf numFmtId="165" fontId="6" fillId="0" borderId="28" xfId="6" applyFont="1" applyBorder="1">
      <alignment horizontal="center"/>
    </xf>
    <xf numFmtId="165" fontId="6" fillId="0" borderId="10" xfId="6" applyFont="1" applyBorder="1">
      <alignment horizontal="center"/>
    </xf>
    <xf numFmtId="0" fontId="6" fillId="0" borderId="11" xfId="5" applyFont="1" applyBorder="1"/>
    <xf numFmtId="0" fontId="6" fillId="0" borderId="29" xfId="0" applyFont="1" applyBorder="1"/>
    <xf numFmtId="2" fontId="6" fillId="0" borderId="14" xfId="7" applyFont="1" applyFill="1" applyBorder="1">
      <alignment horizontal="center"/>
    </xf>
    <xf numFmtId="2" fontId="6" fillId="0" borderId="13" xfId="7" applyFont="1" applyFill="1" applyBorder="1">
      <alignment horizontal="center"/>
    </xf>
    <xf numFmtId="166" fontId="4" fillId="4" borderId="2" xfId="3" applyNumberFormat="1" applyFont="1" applyAlignment="1">
      <alignment horizontal="center"/>
    </xf>
    <xf numFmtId="0" fontId="12" fillId="0" borderId="0" xfId="0" applyFont="1"/>
    <xf numFmtId="166" fontId="0" fillId="0" borderId="0" xfId="0" applyNumberFormat="1"/>
    <xf numFmtId="166" fontId="6" fillId="0" borderId="0" xfId="0" applyNumberFormat="1" applyFont="1" applyAlignment="1">
      <alignment horizontal="left"/>
    </xf>
    <xf numFmtId="166" fontId="6" fillId="0" borderId="0" xfId="0" applyNumberFormat="1" applyFont="1" applyBorder="1" applyAlignment="1">
      <alignment horizontal="center"/>
    </xf>
    <xf numFmtId="0" fontId="1" fillId="5" borderId="4" xfId="0" applyFont="1" applyFill="1" applyBorder="1"/>
    <xf numFmtId="1" fontId="0" fillId="0" borderId="0" xfId="0" applyNumberFormat="1"/>
    <xf numFmtId="166" fontId="6" fillId="0" borderId="9" xfId="0" applyNumberFormat="1" applyFont="1" applyBorder="1" applyAlignment="1">
      <alignment horizontal="right"/>
    </xf>
    <xf numFmtId="0" fontId="0" fillId="0" borderId="0" xfId="0" applyNumberFormat="1"/>
  </cellXfs>
  <cellStyles count="8">
    <cellStyle name="Good" xfId="1" builtinId="26"/>
    <cellStyle name="Input" xfId="2" builtinId="20"/>
    <cellStyle name="label" xfId="4"/>
    <cellStyle name="Normal" xfId="0" builtinId="0"/>
    <cellStyle name="Note" xfId="3" builtinId="10"/>
    <cellStyle name="number2" xfId="7"/>
    <cellStyle name="number5" xfId="6"/>
    <cellStyle name="standard" xfId="5"/>
  </cellStyles>
  <dxfs count="7">
    <dxf>
      <numFmt numFmtId="1" formatCode="0"/>
    </dxf>
    <dxf>
      <numFmt numFmtId="164" formatCode="0.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</font>
      <numFmt numFmtId="0" formatCode="General"/>
    </dxf>
    <dxf>
      <numFmt numFmtId="0" formatCode="General"/>
    </dxf>
    <dxf>
      <font>
        <b val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5.7456917233393953E-2"/>
                  <c:y val="9.0781933508311458E-2"/>
                </c:manualLayout>
              </c:layout>
              <c:numFmt formatCode="General" sourceLinked="0"/>
            </c:trendlineLbl>
          </c:trendline>
          <c:xVal>
            <c:numRef>
              <c:f>('moisture content and atterberg'!$B$25,'moisture content and atterberg'!$B$29,'moisture content and atterberg'!$B$34,'moisture content and atterberg'!$B$39,'moisture content and atterberg'!$B$45)</c:f>
              <c:numCache>
                <c:formatCode>General</c:formatCode>
                <c:ptCount val="5"/>
                <c:pt idx="0">
                  <c:v>237.75</c:v>
                </c:pt>
                <c:pt idx="1">
                  <c:v>247</c:v>
                </c:pt>
                <c:pt idx="2">
                  <c:v>263.25</c:v>
                </c:pt>
                <c:pt idx="3">
                  <c:v>286.25</c:v>
                </c:pt>
                <c:pt idx="4">
                  <c:v>339.4</c:v>
                </c:pt>
              </c:numCache>
            </c:numRef>
          </c:xVal>
          <c:yVal>
            <c:numRef>
              <c:f>('moisture content and atterberg'!$G$21,'moisture content and atterberg'!$G$26,'moisture content and atterberg'!$G$30,'moisture content and atterberg'!$G$35,'moisture content and atterberg'!$G$40)</c:f>
              <c:numCache>
                <c:formatCode>General</c:formatCode>
                <c:ptCount val="5"/>
                <c:pt idx="0">
                  <c:v>58.204768583450203</c:v>
                </c:pt>
                <c:pt idx="1">
                  <c:v>58.842010771992825</c:v>
                </c:pt>
                <c:pt idx="2">
                  <c:v>59.392265193370164</c:v>
                </c:pt>
                <c:pt idx="3">
                  <c:v>58.943089430894325</c:v>
                </c:pt>
                <c:pt idx="4">
                  <c:v>61.472715318869177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114344"/>
        <c:axId val="314909496"/>
      </c:scatterChart>
      <c:valAx>
        <c:axId val="221114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NZ"/>
                  <a:t>Cone</a:t>
                </a:r>
                <a:r>
                  <a:rPr lang="en-NZ" baseline="0"/>
                  <a:t> drop penetration (mm)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0.34180730533683296"/>
              <c:y val="0.883310002916302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14909496"/>
        <c:crosses val="autoZero"/>
        <c:crossBetween val="midCat"/>
      </c:valAx>
      <c:valAx>
        <c:axId val="31490949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NZ"/>
                  <a:t>moisture</a:t>
                </a:r>
                <a:r>
                  <a:rPr lang="en-NZ" baseline="0"/>
                  <a:t> content (%)</a:t>
                </a:r>
                <a:endParaRPr lang="en-NZ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11143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1163008</xdr:colOff>
      <xdr:row>54</xdr:row>
      <xdr:rowOff>165713</xdr:rowOff>
    </xdr:from>
    <xdr:to>
      <xdr:col>5</xdr:col>
      <xdr:colOff>517070</xdr:colOff>
      <xdr:row>72</xdr:row>
      <xdr:rowOff>68034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238125</xdr:colOff>
      <xdr:row>0</xdr:row>
      <xdr:rowOff>38100</xdr:rowOff>
    </xdr:from>
    <xdr:to>
      <xdr:col>17</xdr:col>
      <xdr:colOff>600075</xdr:colOff>
      <xdr:row>2</xdr:row>
      <xdr:rowOff>200025</xdr:rowOff>
    </xdr:to>
    <xdr:pic>
      <xdr:nvPicPr>
        <xdr:cNvPr id="3" name="Picture 10" descr="Waik_Word_RGB_H_1Black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38100"/>
          <a:ext cx="1524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Table27" displayName="Table27" ref="A9:E14" totalsRowCount="1">
  <autoFilter ref="A9:E13"/>
  <tableColumns count="5">
    <tableColumn id="1" name="Sample" totalsRowDxfId="6"/>
    <tableColumn id="2" name="container wt (g)"/>
    <tableColumn id="3" name="wet weight + container (g)"/>
    <tableColumn id="6" name="dry weight + container after 4 days" totalsRowLabel="StD ERROR" totalsRowDxfId="5" dataCellStyle="Input"/>
    <tableColumn id="7" name="plastic limit (%)2" totalsRowFunction="custom" dataDxfId="4" totalsRowDxfId="3" dataCellStyle="Input">
      <calculatedColumnFormula>(C10-D10)/(D10-B10)*100</calculatedColumnFormula>
      <totalsRowFormula>STDEV(E10:E12)/SQRT(2)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20:G45" totalsRowShown="0" headerRowDxfId="2">
  <autoFilter ref="A20:G45"/>
  <tableColumns count="7">
    <tableColumn id="1" name="Sample"/>
    <tableColumn id="2" name="Cone drop readings (mm)"/>
    <tableColumn id="3" name="container weight (g)"/>
    <tableColumn id="4" name="container + wet (g) "/>
    <tableColumn id="5" name="24 hour"/>
    <tableColumn id="6" name="48 hour"/>
    <tableColumn id="8" name="moisture conten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A48:C54" totalsRowShown="0">
  <autoFilter ref="A48:C54"/>
  <tableColumns count="3">
    <tableColumn id="1" name="Results summary"/>
    <tableColumn id="2" name="Column1"/>
    <tableColumn id="3" name="Std ERROR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5" displayName="Table5" ref="A1:G6" totalsRowShown="0">
  <autoFilter ref="A1:G6"/>
  <tableColumns count="7">
    <tableColumn id="1" name="Column1"/>
    <tableColumn id="2" name="bottle + stopper (g)"/>
    <tableColumn id="3" name="soil bottle stopper (g)"/>
    <tableColumn id="4" name="bottle + stopper + soil+ liquid (g)"/>
    <tableColumn id="5" name="bottle + stopper + liquid (g)"/>
    <tableColumn id="6" name="particle density" dataDxfId="1"/>
    <tableColumn id="7" name="Column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Table6" displayName="Table6" ref="A1:D13" totalsRowShown="0">
  <autoFilter ref="A1:D13"/>
  <tableColumns count="4">
    <tableColumn id="1" name="Column1"/>
    <tableColumn id="2" name="Peak  (Kpa)"/>
    <tableColumn id="3" name="remoulded (Kpa)"/>
    <tableColumn id="4" name="Sensitivity" dataDxfId="0">
      <calculatedColumnFormula>Table6[[#This Row],[Peak  (Kpa)]]/Table6[[#This Row],[remoulded (Kpa)]]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opLeftCell="A19" zoomScale="70" zoomScaleNormal="70" workbookViewId="0">
      <selection activeCell="A58" sqref="A58"/>
    </sheetView>
  </sheetViews>
  <sheetFormatPr defaultRowHeight="15"/>
  <cols>
    <col min="1" max="1" width="23.42578125" bestFit="1" customWidth="1"/>
    <col min="2" max="2" width="31.42578125" customWidth="1"/>
    <col min="3" max="3" width="25.85546875" customWidth="1"/>
    <col min="4" max="4" width="25.140625" customWidth="1"/>
    <col min="5" max="5" width="18.28515625" bestFit="1" customWidth="1"/>
    <col min="6" max="6" width="12" customWidth="1"/>
    <col min="7" max="7" width="22.42578125" customWidth="1"/>
    <col min="8" max="8" width="20.5703125" bestFit="1" customWidth="1"/>
  </cols>
  <sheetData>
    <row r="1" spans="1:5">
      <c r="A1" s="4" t="s">
        <v>1</v>
      </c>
    </row>
    <row r="2" spans="1:5">
      <c r="A2" t="s">
        <v>19</v>
      </c>
      <c r="B2" s="1" t="s">
        <v>2</v>
      </c>
      <c r="C2" s="1" t="s">
        <v>3</v>
      </c>
      <c r="D2" s="1" t="s">
        <v>25</v>
      </c>
      <c r="E2" t="s">
        <v>11</v>
      </c>
    </row>
    <row r="3" spans="1:5">
      <c r="A3">
        <v>1</v>
      </c>
      <c r="B3">
        <v>0.89</v>
      </c>
      <c r="C3">
        <v>32.22</v>
      </c>
      <c r="D3">
        <v>20.05</v>
      </c>
      <c r="E3">
        <f>((C3-D3)/(D3-B3))*100</f>
        <v>63.517745302713976</v>
      </c>
    </row>
    <row r="4" spans="1:5">
      <c r="A4">
        <v>2</v>
      </c>
      <c r="B4">
        <v>0.89</v>
      </c>
      <c r="C4">
        <v>43.07</v>
      </c>
      <c r="D4">
        <v>26.58</v>
      </c>
      <c r="E4">
        <f>((C4-D4)/(D4-B4))*100</f>
        <v>64.188400155702624</v>
      </c>
    </row>
    <row r="5" spans="1:5">
      <c r="A5">
        <v>3</v>
      </c>
      <c r="B5">
        <v>0.89</v>
      </c>
      <c r="C5">
        <v>32.58</v>
      </c>
      <c r="D5">
        <v>20.170000000000002</v>
      </c>
      <c r="E5">
        <f>((C5-D5)/(D5-B5))*100</f>
        <v>64.367219917012434</v>
      </c>
    </row>
    <row r="6" spans="1:5">
      <c r="D6" s="5" t="s">
        <v>26</v>
      </c>
      <c r="E6" s="5">
        <f>AVERAGE(E3:E5)</f>
        <v>64.024455125143007</v>
      </c>
    </row>
    <row r="7" spans="1:5">
      <c r="D7" s="5" t="s">
        <v>27</v>
      </c>
      <c r="E7" s="5">
        <f>STDEV(E3:E5)/SQRT(2)</f>
        <v>0.31667038057598057</v>
      </c>
    </row>
    <row r="8" spans="1:5">
      <c r="A8" s="6" t="s">
        <v>22</v>
      </c>
    </row>
    <row r="9" spans="1:5">
      <c r="A9" t="s">
        <v>19</v>
      </c>
      <c r="B9" t="s">
        <v>2</v>
      </c>
      <c r="C9" t="s">
        <v>4</v>
      </c>
      <c r="D9" t="s">
        <v>28</v>
      </c>
      <c r="E9" t="s">
        <v>29</v>
      </c>
    </row>
    <row r="10" spans="1:5">
      <c r="A10">
        <v>1</v>
      </c>
      <c r="B10">
        <v>0.89</v>
      </c>
      <c r="C10">
        <v>24.33</v>
      </c>
      <c r="D10">
        <v>18.29</v>
      </c>
      <c r="E10">
        <f>(C10-D10)/(D10-B10)*100</f>
        <v>34.712643678160916</v>
      </c>
    </row>
    <row r="11" spans="1:5">
      <c r="A11">
        <v>2</v>
      </c>
      <c r="B11">
        <v>0.89</v>
      </c>
      <c r="C11">
        <v>19.32</v>
      </c>
      <c r="D11">
        <v>14.16</v>
      </c>
      <c r="E11">
        <f>(C11-D11)/(D11-B11)*100</f>
        <v>38.88470233609646</v>
      </c>
    </row>
    <row r="12" spans="1:5">
      <c r="A12">
        <v>3</v>
      </c>
      <c r="B12">
        <v>0.89249999999999996</v>
      </c>
      <c r="C12">
        <v>25.235600000000002</v>
      </c>
      <c r="D12">
        <v>18.7</v>
      </c>
      <c r="E12">
        <f>(C12-D12)/(D12-B12)*100</f>
        <v>36.701389863821433</v>
      </c>
    </row>
    <row r="13" spans="1:5">
      <c r="D13" s="5" t="s">
        <v>26</v>
      </c>
      <c r="E13" s="5">
        <f>AVERAGE(E10:E12)</f>
        <v>36.766245292692936</v>
      </c>
    </row>
    <row r="14" spans="1:5">
      <c r="A14" s="1"/>
      <c r="D14" s="11" t="s">
        <v>30</v>
      </c>
      <c r="E14" s="12">
        <f>STDEV(E10:E12)/SQRT(2)</f>
        <v>1.4755800607395575</v>
      </c>
    </row>
    <row r="15" spans="1:5">
      <c r="A15" s="1"/>
    </row>
    <row r="19" spans="1:11">
      <c r="A19" s="1"/>
    </row>
    <row r="20" spans="1:11">
      <c r="A20" t="s">
        <v>19</v>
      </c>
      <c r="B20" s="1" t="s">
        <v>5</v>
      </c>
      <c r="C20" s="1" t="s">
        <v>9</v>
      </c>
      <c r="D20" s="1" t="s">
        <v>6</v>
      </c>
      <c r="E20" s="1" t="s">
        <v>7</v>
      </c>
      <c r="F20" s="1" t="s">
        <v>8</v>
      </c>
      <c r="G20" s="1" t="s">
        <v>0</v>
      </c>
      <c r="K20" s="1"/>
    </row>
    <row r="21" spans="1:11">
      <c r="A21" t="s">
        <v>31</v>
      </c>
      <c r="B21">
        <v>239</v>
      </c>
      <c r="C21">
        <v>0.91</v>
      </c>
      <c r="D21">
        <v>23.47</v>
      </c>
      <c r="E21">
        <v>15.18</v>
      </c>
      <c r="F21">
        <v>15.17</v>
      </c>
      <c r="G21" s="5">
        <f>((D21-F21)/(F21-C21))*100</f>
        <v>58.204768583450203</v>
      </c>
      <c r="K21" s="3"/>
    </row>
    <row r="22" spans="1:11">
      <c r="A22" t="s">
        <v>32</v>
      </c>
      <c r="B22">
        <v>245</v>
      </c>
    </row>
    <row r="23" spans="1:11">
      <c r="A23" t="s">
        <v>33</v>
      </c>
      <c r="B23">
        <v>223</v>
      </c>
    </row>
    <row r="24" spans="1:11">
      <c r="A24" t="s">
        <v>34</v>
      </c>
      <c r="B24">
        <v>244</v>
      </c>
    </row>
    <row r="25" spans="1:11">
      <c r="A25" s="5" t="s">
        <v>10</v>
      </c>
      <c r="B25" s="5">
        <f>AVERAGE(B21:B24)</f>
        <v>237.75</v>
      </c>
    </row>
    <row r="26" spans="1:11">
      <c r="A26" s="10" t="s">
        <v>35</v>
      </c>
      <c r="B26">
        <v>247</v>
      </c>
      <c r="C26">
        <v>0.87</v>
      </c>
      <c r="D26">
        <v>36.26</v>
      </c>
      <c r="E26">
        <v>23.18</v>
      </c>
      <c r="F26">
        <v>23.15</v>
      </c>
      <c r="G26" s="5">
        <f>(D26-F26)/(F26-C26)*100</f>
        <v>58.842010771992825</v>
      </c>
    </row>
    <row r="27" spans="1:11">
      <c r="A27" s="7" t="s">
        <v>36</v>
      </c>
      <c r="B27">
        <v>248</v>
      </c>
    </row>
    <row r="28" spans="1:11">
      <c r="A28" s="8" t="s">
        <v>37</v>
      </c>
      <c r="B28">
        <v>246</v>
      </c>
    </row>
    <row r="29" spans="1:11">
      <c r="A29" s="5" t="s">
        <v>10</v>
      </c>
      <c r="B29" s="5">
        <f>AVERAGE(B26:B28)</f>
        <v>247</v>
      </c>
    </row>
    <row r="30" spans="1:11">
      <c r="A30" s="10" t="s">
        <v>38</v>
      </c>
      <c r="B30">
        <v>287</v>
      </c>
      <c r="C30">
        <v>0.9</v>
      </c>
      <c r="D30">
        <v>41.29</v>
      </c>
      <c r="E30">
        <v>26.24</v>
      </c>
      <c r="F30">
        <v>26.24</v>
      </c>
      <c r="G30" s="5">
        <f>(D30-F30)/(F30-C30)*100</f>
        <v>59.392265193370164</v>
      </c>
    </row>
    <row r="31" spans="1:11">
      <c r="A31" s="7" t="s">
        <v>39</v>
      </c>
      <c r="B31">
        <v>253</v>
      </c>
    </row>
    <row r="32" spans="1:11">
      <c r="A32" s="8" t="s">
        <v>40</v>
      </c>
      <c r="B32">
        <v>256</v>
      </c>
    </row>
    <row r="33" spans="1:7">
      <c r="A33" s="8" t="s">
        <v>41</v>
      </c>
      <c r="B33">
        <v>257</v>
      </c>
    </row>
    <row r="34" spans="1:7">
      <c r="A34" s="5" t="s">
        <v>10</v>
      </c>
      <c r="B34" s="5">
        <f>AVERAGE(B30:B33)</f>
        <v>263.25</v>
      </c>
    </row>
    <row r="35" spans="1:7">
      <c r="A35" s="10" t="s">
        <v>42</v>
      </c>
      <c r="B35">
        <v>312</v>
      </c>
      <c r="C35">
        <v>0.9</v>
      </c>
      <c r="D35">
        <v>36.090000000000003</v>
      </c>
      <c r="E35">
        <v>23.05</v>
      </c>
      <c r="F35">
        <v>23.04</v>
      </c>
      <c r="G35" s="5">
        <f>(D35-F35)/(F35-C35)*100</f>
        <v>58.943089430894325</v>
      </c>
    </row>
    <row r="36" spans="1:7">
      <c r="A36" s="7" t="s">
        <v>43</v>
      </c>
      <c r="B36">
        <v>278</v>
      </c>
    </row>
    <row r="37" spans="1:7">
      <c r="A37" s="8" t="s">
        <v>44</v>
      </c>
      <c r="B37">
        <v>274</v>
      </c>
    </row>
    <row r="38" spans="1:7">
      <c r="A38" t="s">
        <v>45</v>
      </c>
      <c r="B38">
        <v>281</v>
      </c>
    </row>
    <row r="39" spans="1:7">
      <c r="A39" s="5" t="s">
        <v>10</v>
      </c>
      <c r="B39" s="5">
        <f>AVERAGE(B35:B38)</f>
        <v>286.25</v>
      </c>
    </row>
    <row r="40" spans="1:7">
      <c r="A40" t="s">
        <v>46</v>
      </c>
      <c r="B40">
        <v>329</v>
      </c>
      <c r="C40">
        <v>0.9</v>
      </c>
      <c r="D40">
        <v>25.46</v>
      </c>
      <c r="E40">
        <v>16.13</v>
      </c>
      <c r="F40">
        <v>16.11</v>
      </c>
      <c r="G40" s="5">
        <f>(D40-F40)/(F40-C40)*100</f>
        <v>61.472715318869177</v>
      </c>
    </row>
    <row r="41" spans="1:7">
      <c r="A41" t="s">
        <v>47</v>
      </c>
      <c r="B41">
        <v>346</v>
      </c>
    </row>
    <row r="42" spans="1:7">
      <c r="A42" t="s">
        <v>48</v>
      </c>
      <c r="B42">
        <v>337</v>
      </c>
    </row>
    <row r="43" spans="1:7">
      <c r="A43" t="s">
        <v>49</v>
      </c>
      <c r="B43">
        <v>355</v>
      </c>
    </row>
    <row r="44" spans="1:7">
      <c r="A44" t="s">
        <v>50</v>
      </c>
      <c r="B44">
        <v>330</v>
      </c>
    </row>
    <row r="45" spans="1:7">
      <c r="A45" s="5" t="s">
        <v>10</v>
      </c>
      <c r="B45" s="5">
        <f>AVERAGE(B40:B44)</f>
        <v>339.4</v>
      </c>
    </row>
    <row r="48" spans="1:7">
      <c r="A48" s="1" t="s">
        <v>51</v>
      </c>
      <c r="B48" t="s">
        <v>52</v>
      </c>
      <c r="C48" t="s">
        <v>27</v>
      </c>
    </row>
    <row r="49" spans="1:3">
      <c r="A49" t="s">
        <v>21</v>
      </c>
      <c r="B49">
        <f>(0.0286*(20))+51.503</f>
        <v>52.075000000000003</v>
      </c>
    </row>
    <row r="50" spans="1:3">
      <c r="A50" t="s">
        <v>22</v>
      </c>
      <c r="B50" s="13">
        <v>36.766245292692936</v>
      </c>
      <c r="C50" s="13">
        <v>1.4755800607395575</v>
      </c>
    </row>
    <row r="51" spans="1:3">
      <c r="A51" t="s">
        <v>53</v>
      </c>
      <c r="B51" s="13">
        <f>B49-B50</f>
        <v>15.308754707307067</v>
      </c>
      <c r="C51" s="13"/>
    </row>
    <row r="52" spans="1:3">
      <c r="A52" t="s">
        <v>54</v>
      </c>
      <c r="B52" s="13">
        <f>E6-B51</f>
        <v>48.71570041783594</v>
      </c>
      <c r="C52" s="13"/>
    </row>
    <row r="53" spans="1:3">
      <c r="A53" t="s">
        <v>23</v>
      </c>
      <c r="B53" s="13">
        <f>B51/40.1</f>
        <v>0.38176445654132335</v>
      </c>
      <c r="C53" s="13"/>
    </row>
    <row r="54" spans="1:3">
      <c r="A54" t="s">
        <v>20</v>
      </c>
      <c r="B54" s="13">
        <f>E6</f>
        <v>64.024455125143007</v>
      </c>
      <c r="C54" s="13">
        <v>0.31667038057598057</v>
      </c>
    </row>
  </sheetData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9"/>
  <sheetViews>
    <sheetView zoomScale="70" zoomScaleNormal="70" workbookViewId="0">
      <selection activeCell="M16" sqref="M16"/>
    </sheetView>
  </sheetViews>
  <sheetFormatPr defaultRowHeight="15"/>
  <cols>
    <col min="3" max="3" width="14.140625" bestFit="1" customWidth="1"/>
    <col min="4" max="4" width="14.140625" customWidth="1"/>
    <col min="5" max="5" width="14" bestFit="1" customWidth="1"/>
    <col min="6" max="6" width="14" customWidth="1"/>
    <col min="7" max="7" width="16.140625" bestFit="1" customWidth="1"/>
    <col min="8" max="8" width="16.140625" customWidth="1"/>
    <col min="9" max="9" width="17.28515625" bestFit="1" customWidth="1"/>
    <col min="10" max="10" width="17.28515625" customWidth="1"/>
    <col min="11" max="11" width="20.42578125" bestFit="1" customWidth="1"/>
  </cols>
  <sheetData>
    <row r="1" spans="2:24" ht="20.25">
      <c r="C1" s="20" t="s">
        <v>55</v>
      </c>
      <c r="D1" s="14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  <c r="R1" s="16"/>
      <c r="S1" s="17"/>
      <c r="T1" s="18"/>
      <c r="U1" s="19"/>
    </row>
    <row r="2" spans="2:24" ht="20.25">
      <c r="C2" s="20"/>
      <c r="D2" s="20"/>
      <c r="E2" s="20"/>
      <c r="F2" s="21"/>
      <c r="G2" s="21"/>
      <c r="H2" s="21"/>
      <c r="I2" s="21"/>
      <c r="J2" s="21"/>
      <c r="P2" s="15"/>
      <c r="Q2" s="16"/>
      <c r="R2" s="16"/>
      <c r="S2" s="17"/>
      <c r="T2" s="18"/>
      <c r="U2" s="19"/>
    </row>
    <row r="3" spans="2:24" ht="21" thickBot="1">
      <c r="C3" s="14"/>
      <c r="D3" s="14"/>
      <c r="E3" s="14"/>
      <c r="F3" s="15"/>
      <c r="G3" s="15"/>
      <c r="H3" s="15"/>
      <c r="I3" s="15"/>
      <c r="J3" s="15"/>
      <c r="P3" s="21"/>
      <c r="Q3" s="22"/>
      <c r="R3" s="22"/>
      <c r="S3" s="23"/>
      <c r="T3" s="24"/>
      <c r="U3" s="25"/>
      <c r="V3" s="26"/>
      <c r="W3" s="26"/>
      <c r="X3" s="26"/>
    </row>
    <row r="4" spans="2:24" ht="15.75" thickBot="1">
      <c r="B4" s="89"/>
      <c r="C4" s="29" t="s">
        <v>56</v>
      </c>
      <c r="D4" s="30" t="s">
        <v>24</v>
      </c>
      <c r="E4" s="30"/>
      <c r="F4" s="31" t="s">
        <v>57</v>
      </c>
      <c r="G4" s="30" t="s">
        <v>58</v>
      </c>
      <c r="H4" s="30"/>
      <c r="I4" s="30"/>
      <c r="J4" s="32"/>
      <c r="L4" s="14"/>
      <c r="M4" s="52" t="s">
        <v>65</v>
      </c>
      <c r="N4" s="53"/>
      <c r="O4" s="52" t="s">
        <v>66</v>
      </c>
      <c r="P4" s="53"/>
      <c r="Q4" s="52" t="s">
        <v>67</v>
      </c>
      <c r="R4" s="53"/>
      <c r="S4" s="27"/>
      <c r="T4" s="28"/>
      <c r="U4" s="19"/>
    </row>
    <row r="5" spans="2:24">
      <c r="C5" s="34" t="s">
        <v>59</v>
      </c>
      <c r="D5" s="35" t="s">
        <v>60</v>
      </c>
      <c r="E5" s="15"/>
      <c r="F5" s="88" t="s">
        <v>61</v>
      </c>
      <c r="G5" s="88"/>
      <c r="H5" s="36"/>
      <c r="I5" s="36"/>
      <c r="J5" s="37"/>
      <c r="L5" s="14"/>
      <c r="M5" s="52" t="s">
        <v>69</v>
      </c>
      <c r="N5" s="52" t="s">
        <v>70</v>
      </c>
      <c r="O5" s="52" t="s">
        <v>69</v>
      </c>
      <c r="P5" s="52" t="s">
        <v>70</v>
      </c>
      <c r="Q5" s="52" t="s">
        <v>69</v>
      </c>
      <c r="R5" s="52" t="s">
        <v>70</v>
      </c>
      <c r="S5" s="33"/>
      <c r="T5" s="33"/>
    </row>
    <row r="6" spans="2:24" ht="15.75" thickBot="1">
      <c r="C6" s="38" t="s">
        <v>62</v>
      </c>
      <c r="D6" s="39"/>
      <c r="E6" s="40"/>
      <c r="F6" s="41"/>
      <c r="G6" s="42" t="s">
        <v>63</v>
      </c>
      <c r="H6" s="43"/>
      <c r="I6" s="43"/>
      <c r="J6" s="44"/>
      <c r="L6" s="14"/>
      <c r="M6" s="60">
        <v>60.55</v>
      </c>
      <c r="N6" s="60">
        <v>25.15</v>
      </c>
      <c r="O6" s="60">
        <v>60.4</v>
      </c>
      <c r="P6" s="60">
        <v>20.9</v>
      </c>
      <c r="Q6" s="60">
        <v>60</v>
      </c>
      <c r="R6" s="60">
        <v>21.2</v>
      </c>
      <c r="S6" s="33"/>
      <c r="T6" s="33"/>
    </row>
    <row r="7" spans="2:24" ht="15.75" thickBot="1">
      <c r="C7" s="15"/>
      <c r="D7" s="15"/>
      <c r="E7" s="15"/>
      <c r="F7" s="15"/>
      <c r="G7" s="15"/>
      <c r="H7" s="15"/>
      <c r="I7" s="15"/>
      <c r="J7" s="15"/>
      <c r="L7" s="14"/>
      <c r="M7" s="60">
        <v>60.3</v>
      </c>
      <c r="N7" s="60">
        <v>25.25</v>
      </c>
      <c r="O7" s="60">
        <v>60.25</v>
      </c>
      <c r="P7" s="60">
        <v>20.75</v>
      </c>
      <c r="Q7" s="60">
        <v>60.28</v>
      </c>
      <c r="R7" s="60">
        <v>21.16</v>
      </c>
    </row>
    <row r="8" spans="2:24">
      <c r="C8" s="45" t="s">
        <v>64</v>
      </c>
      <c r="D8" s="46"/>
      <c r="E8" s="46"/>
      <c r="F8" s="46"/>
      <c r="G8" s="46"/>
      <c r="H8" s="46"/>
      <c r="I8" s="46"/>
      <c r="J8" s="47"/>
      <c r="L8" s="14"/>
      <c r="M8" s="60">
        <v>60.3</v>
      </c>
      <c r="N8" s="60">
        <v>25.32</v>
      </c>
      <c r="O8" s="60">
        <v>60.4</v>
      </c>
      <c r="P8" s="60">
        <v>20.65</v>
      </c>
      <c r="Q8" s="60">
        <v>60.4</v>
      </c>
      <c r="R8" s="60">
        <v>21.35</v>
      </c>
    </row>
    <row r="9" spans="2:24" ht="15.75" thickBot="1">
      <c r="C9" s="48"/>
      <c r="D9" s="49"/>
      <c r="E9" s="50">
        <v>1</v>
      </c>
      <c r="F9" s="50">
        <v>2</v>
      </c>
      <c r="G9" s="50">
        <v>3</v>
      </c>
      <c r="H9" s="50">
        <v>4</v>
      </c>
      <c r="I9" s="50">
        <v>5</v>
      </c>
      <c r="J9" s="51">
        <v>6</v>
      </c>
      <c r="L9" s="67" t="s">
        <v>75</v>
      </c>
      <c r="M9" s="68">
        <f t="shared" ref="M9:R9" si="0">AVERAGE(M6:M8)</f>
        <v>60.383333333333326</v>
      </c>
      <c r="N9" s="68">
        <f t="shared" si="0"/>
        <v>25.24</v>
      </c>
      <c r="O9" s="68">
        <f t="shared" si="0"/>
        <v>60.35</v>
      </c>
      <c r="P9" s="68">
        <f t="shared" si="0"/>
        <v>20.766666666666666</v>
      </c>
      <c r="Q9" s="68">
        <f t="shared" si="0"/>
        <v>60.226666666666667</v>
      </c>
      <c r="R9" s="68">
        <f t="shared" si="0"/>
        <v>21.236666666666668</v>
      </c>
      <c r="S9" s="14"/>
      <c r="T9" s="14"/>
      <c r="U9" s="14"/>
      <c r="V9" s="14"/>
      <c r="W9" s="14"/>
      <c r="X9" s="14"/>
    </row>
    <row r="10" spans="2:24">
      <c r="C10" s="54" t="s">
        <v>68</v>
      </c>
      <c r="D10" s="28"/>
      <c r="E10" s="55">
        <v>101.2</v>
      </c>
      <c r="F10" s="55">
        <v>100.3</v>
      </c>
      <c r="G10" s="55">
        <v>103.1</v>
      </c>
      <c r="H10" s="55">
        <v>100.5</v>
      </c>
      <c r="I10" s="55"/>
      <c r="J10" s="56"/>
      <c r="X10" s="14"/>
    </row>
    <row r="11" spans="2:24" ht="15.75" thickBot="1">
      <c r="C11" s="57" t="s">
        <v>71</v>
      </c>
      <c r="D11" s="28"/>
      <c r="E11" s="58">
        <v>60.1</v>
      </c>
      <c r="F11" s="58">
        <v>60.2</v>
      </c>
      <c r="G11" s="58">
        <v>60.1</v>
      </c>
      <c r="H11" s="58">
        <v>60.5</v>
      </c>
      <c r="I11" s="58"/>
      <c r="J11" s="59"/>
      <c r="X11" s="14"/>
    </row>
    <row r="12" spans="2:24" ht="15.75" thickBot="1">
      <c r="C12" s="61" t="s">
        <v>72</v>
      </c>
      <c r="D12" s="62"/>
      <c r="E12" s="63">
        <f t="shared" ref="E12:J12" si="1">(PI()*(((E11*0.001)/2)^2))*(E10*0.001)</f>
        <v>2.8709084124152955E-4</v>
      </c>
      <c r="F12" s="64">
        <f t="shared" si="1"/>
        <v>2.8548533031591252E-4</v>
      </c>
      <c r="G12" s="65">
        <f t="shared" si="1"/>
        <v>2.9248088667985868E-4</v>
      </c>
      <c r="H12" s="63">
        <f t="shared" si="1"/>
        <v>2.889127395713388E-4</v>
      </c>
      <c r="I12" s="64">
        <f t="shared" si="1"/>
        <v>0</v>
      </c>
      <c r="J12" s="66">
        <f t="shared" si="1"/>
        <v>0</v>
      </c>
      <c r="X12" s="14"/>
    </row>
    <row r="13" spans="2:24">
      <c r="C13" s="57" t="s">
        <v>73</v>
      </c>
      <c r="D13" s="28"/>
      <c r="E13" s="55"/>
      <c r="F13" s="55"/>
      <c r="G13" s="55"/>
      <c r="H13" s="55"/>
      <c r="I13" s="55"/>
      <c r="J13" s="56"/>
      <c r="X13" s="14"/>
    </row>
    <row r="14" spans="2:24" ht="15.75" thickBot="1">
      <c r="C14" s="57" t="s">
        <v>74</v>
      </c>
      <c r="D14" s="28"/>
      <c r="E14" s="58"/>
      <c r="F14" s="58"/>
      <c r="G14" s="58"/>
      <c r="H14" s="58"/>
      <c r="I14" s="58"/>
      <c r="J14" s="59"/>
      <c r="X14" s="14"/>
    </row>
    <row r="15" spans="2:24" ht="15.75" thickBot="1">
      <c r="C15" s="61" t="s">
        <v>76</v>
      </c>
      <c r="D15" s="69"/>
      <c r="E15" s="65">
        <f t="shared" ref="E15:J15" si="2">(E13-E14)*0.001</f>
        <v>0</v>
      </c>
      <c r="F15" s="63">
        <f t="shared" si="2"/>
        <v>0</v>
      </c>
      <c r="G15" s="65">
        <f t="shared" si="2"/>
        <v>0</v>
      </c>
      <c r="H15" s="65">
        <f t="shared" si="2"/>
        <v>0</v>
      </c>
      <c r="I15" s="63">
        <f t="shared" si="2"/>
        <v>0</v>
      </c>
      <c r="J15" s="66">
        <f t="shared" si="2"/>
        <v>0</v>
      </c>
      <c r="P15" s="14"/>
      <c r="X15" s="14"/>
    </row>
    <row r="16" spans="2:24" ht="15.75" thickBot="1">
      <c r="C16" s="57" t="s">
        <v>87</v>
      </c>
      <c r="D16" s="28"/>
      <c r="E16" s="70"/>
      <c r="F16" s="70"/>
      <c r="G16" s="70"/>
      <c r="H16" s="71"/>
      <c r="I16" s="71"/>
      <c r="J16" s="72"/>
      <c r="P16" s="14"/>
      <c r="Q16" s="14"/>
      <c r="R16" s="14"/>
      <c r="S16" s="14"/>
      <c r="T16" s="14"/>
      <c r="U16" s="14"/>
      <c r="V16" s="14"/>
      <c r="W16" s="14"/>
      <c r="X16" s="14"/>
    </row>
    <row r="17" spans="3:24">
      <c r="C17" s="73" t="s">
        <v>77</v>
      </c>
      <c r="D17" s="74"/>
      <c r="E17" s="75">
        <f t="shared" ref="E17:J17" si="3">E12-(E16*0.000001)</f>
        <v>2.8709084124152955E-4</v>
      </c>
      <c r="F17" s="75">
        <f t="shared" si="3"/>
        <v>2.8548533031591252E-4</v>
      </c>
      <c r="G17" s="75">
        <f t="shared" si="3"/>
        <v>2.9248088667985868E-4</v>
      </c>
      <c r="H17" s="75">
        <f t="shared" si="3"/>
        <v>2.889127395713388E-4</v>
      </c>
      <c r="I17" s="75">
        <f t="shared" si="3"/>
        <v>0</v>
      </c>
      <c r="J17" s="76">
        <f t="shared" si="3"/>
        <v>0</v>
      </c>
      <c r="P17" s="14"/>
      <c r="Q17" s="14"/>
      <c r="R17" s="14"/>
      <c r="S17" s="14"/>
      <c r="T17" s="14"/>
      <c r="U17" s="14"/>
      <c r="V17" s="14"/>
      <c r="W17" s="14"/>
      <c r="X17" s="14"/>
    </row>
    <row r="18" spans="3:24" ht="15.75" thickBot="1">
      <c r="C18" s="77" t="s">
        <v>78</v>
      </c>
      <c r="D18" s="78"/>
      <c r="E18" s="79">
        <f t="shared" ref="E18:J18" si="4">E15/E17</f>
        <v>0</v>
      </c>
      <c r="F18" s="79">
        <f t="shared" si="4"/>
        <v>0</v>
      </c>
      <c r="G18" s="79">
        <f t="shared" si="4"/>
        <v>0</v>
      </c>
      <c r="H18" s="79">
        <f t="shared" si="4"/>
        <v>0</v>
      </c>
      <c r="I18" s="79" t="e">
        <f t="shared" si="4"/>
        <v>#DIV/0!</v>
      </c>
      <c r="J18" s="80" t="e">
        <f t="shared" si="4"/>
        <v>#DIV/0!</v>
      </c>
      <c r="P18" s="14"/>
      <c r="Q18" s="14"/>
      <c r="R18" s="14"/>
      <c r="S18" s="14"/>
      <c r="T18" s="14"/>
      <c r="U18" s="14"/>
      <c r="V18" s="14"/>
      <c r="W18" s="14"/>
      <c r="X18" s="14"/>
    </row>
    <row r="19" spans="3:24">
      <c r="C19" s="81" t="s">
        <v>79</v>
      </c>
      <c r="D19" s="81"/>
      <c r="E19" s="81">
        <f>(100*E33)/(100+72.44)</f>
        <v>952.51187145987979</v>
      </c>
      <c r="F19" s="81">
        <f t="shared" ref="F19:G19" si="5">(100*F33)/(100+72.44)</f>
        <v>965.25270097682278</v>
      </c>
      <c r="G19" s="81">
        <f t="shared" si="5"/>
        <v>907.29150298530749</v>
      </c>
      <c r="H19" s="81">
        <f>(100*H33)/(100+72.44)</f>
        <v>1094.2158213314317</v>
      </c>
      <c r="I19" s="81"/>
      <c r="J19" s="81"/>
      <c r="P19" s="14"/>
      <c r="Q19" s="14"/>
      <c r="R19" s="14"/>
      <c r="S19" s="14"/>
      <c r="T19" s="14"/>
      <c r="U19" s="14"/>
      <c r="V19" s="14"/>
      <c r="W19" s="14"/>
      <c r="X19" s="14"/>
    </row>
    <row r="20" spans="3:24">
      <c r="C20" s="84" t="s">
        <v>80</v>
      </c>
      <c r="D20" s="15"/>
      <c r="E20" s="15">
        <f>AVERAGE(E19:H19)</f>
        <v>979.81797418836049</v>
      </c>
      <c r="F20" s="15"/>
      <c r="G20" s="15"/>
      <c r="H20" s="15"/>
      <c r="I20" s="15"/>
      <c r="J20" s="15"/>
      <c r="Q20" s="82"/>
      <c r="R20" s="83"/>
    </row>
    <row r="21" spans="3:24">
      <c r="C21" s="84" t="s">
        <v>81</v>
      </c>
      <c r="D21" s="15"/>
      <c r="E21" s="15">
        <f>STDEV(E19:H19)/SQRT(2)</f>
        <v>56.722609962991292</v>
      </c>
      <c r="F21" s="15"/>
      <c r="G21" s="15"/>
      <c r="H21" s="15"/>
      <c r="I21" s="15"/>
      <c r="J21" s="15"/>
      <c r="Q21" s="82"/>
    </row>
    <row r="22" spans="3:24" ht="15.75" thickBot="1">
      <c r="C22" s="15"/>
      <c r="D22" s="15"/>
      <c r="E22" s="15"/>
      <c r="F22" s="15"/>
      <c r="G22" s="15"/>
      <c r="H22" s="15"/>
      <c r="I22" s="15"/>
      <c r="J22" s="15"/>
    </row>
    <row r="23" spans="3:24">
      <c r="C23" s="45" t="s">
        <v>82</v>
      </c>
      <c r="D23" s="46"/>
      <c r="E23" s="46"/>
      <c r="F23" s="46"/>
      <c r="G23" s="46"/>
      <c r="H23" s="46"/>
      <c r="I23" s="46"/>
      <c r="J23" s="47"/>
    </row>
    <row r="24" spans="3:24" ht="15.75" thickBot="1">
      <c r="C24" s="48"/>
      <c r="D24" s="49"/>
      <c r="E24" s="50">
        <v>1</v>
      </c>
      <c r="F24" s="50">
        <v>2</v>
      </c>
      <c r="G24" s="50">
        <v>3</v>
      </c>
      <c r="H24" s="50">
        <v>4</v>
      </c>
      <c r="I24" s="50">
        <v>5</v>
      </c>
      <c r="J24" s="51">
        <v>6</v>
      </c>
    </row>
    <row r="25" spans="3:24">
      <c r="C25" s="54" t="s">
        <v>68</v>
      </c>
      <c r="D25" s="28"/>
      <c r="E25" s="55">
        <v>101.2</v>
      </c>
      <c r="F25" s="55">
        <v>100.3</v>
      </c>
      <c r="G25" s="55">
        <v>103.1</v>
      </c>
      <c r="H25" s="55">
        <v>100.5</v>
      </c>
      <c r="I25" s="55"/>
      <c r="J25" s="56"/>
    </row>
    <row r="26" spans="3:24" ht="15.75" thickBot="1">
      <c r="C26" s="57" t="s">
        <v>71</v>
      </c>
      <c r="D26" s="28"/>
      <c r="E26" s="58">
        <v>60.1</v>
      </c>
      <c r="F26" s="58">
        <v>60.2</v>
      </c>
      <c r="G26" s="58">
        <v>60.1</v>
      </c>
      <c r="H26" s="58">
        <v>60.5</v>
      </c>
      <c r="I26" s="58"/>
      <c r="J26" s="59"/>
    </row>
    <row r="27" spans="3:24" ht="15.75" thickBot="1">
      <c r="C27" s="61" t="s">
        <v>72</v>
      </c>
      <c r="D27" s="62"/>
      <c r="E27" s="63">
        <f t="shared" ref="E27:J27" si="6">(PI()*(((E26*0.001)/2)^2))*(E25*0.001)</f>
        <v>2.8709084124152955E-4</v>
      </c>
      <c r="F27" s="64">
        <f t="shared" si="6"/>
        <v>2.8548533031591252E-4</v>
      </c>
      <c r="G27" s="65">
        <f t="shared" si="6"/>
        <v>2.9248088667985868E-4</v>
      </c>
      <c r="H27" s="63">
        <f t="shared" si="6"/>
        <v>2.889127395713388E-4</v>
      </c>
      <c r="I27" s="64">
        <f t="shared" si="6"/>
        <v>0</v>
      </c>
      <c r="J27" s="66">
        <f t="shared" si="6"/>
        <v>0</v>
      </c>
      <c r="P27" s="85"/>
      <c r="Q27" s="33"/>
      <c r="R27" s="33"/>
      <c r="S27" s="33"/>
      <c r="T27" s="33"/>
    </row>
    <row r="28" spans="3:24">
      <c r="C28" s="57" t="s">
        <v>83</v>
      </c>
      <c r="D28" s="28"/>
      <c r="E28" s="55">
        <v>697.04</v>
      </c>
      <c r="F28" s="55">
        <v>631.21</v>
      </c>
      <c r="G28" s="55">
        <v>657.12</v>
      </c>
      <c r="H28" s="55">
        <v>682.38</v>
      </c>
      <c r="I28" s="55"/>
      <c r="J28" s="56"/>
      <c r="P28" s="85"/>
      <c r="Q28" s="33"/>
      <c r="R28" s="33"/>
      <c r="S28" s="33"/>
      <c r="T28" s="33"/>
    </row>
    <row r="29" spans="3:24" ht="15.75" thickBot="1">
      <c r="C29" s="57" t="s">
        <v>84</v>
      </c>
      <c r="D29" s="28"/>
      <c r="E29" s="58">
        <v>225.49</v>
      </c>
      <c r="F29" s="58">
        <v>235.92</v>
      </c>
      <c r="G29" s="58">
        <v>229.25</v>
      </c>
      <c r="H29" s="58">
        <v>227.81</v>
      </c>
      <c r="I29" s="58"/>
      <c r="J29" s="59"/>
      <c r="P29" s="85"/>
      <c r="Q29" s="33"/>
      <c r="R29" s="33"/>
      <c r="S29" s="33"/>
      <c r="T29" s="33"/>
    </row>
    <row r="30" spans="3:24" ht="15.75" thickBot="1">
      <c r="C30" s="61" t="s">
        <v>76</v>
      </c>
      <c r="D30" s="69"/>
      <c r="E30" s="65">
        <f t="shared" ref="E30:J30" si="7">(E28-E29)*0.001</f>
        <v>0.47154999999999997</v>
      </c>
      <c r="F30" s="63">
        <f t="shared" si="7"/>
        <v>0.39529000000000009</v>
      </c>
      <c r="G30" s="65">
        <f t="shared" si="7"/>
        <v>0.42787000000000003</v>
      </c>
      <c r="H30" s="65">
        <f t="shared" si="7"/>
        <v>0.45457000000000003</v>
      </c>
      <c r="I30" s="63">
        <f t="shared" si="7"/>
        <v>0</v>
      </c>
      <c r="J30" s="66">
        <f t="shared" si="7"/>
        <v>0</v>
      </c>
      <c r="P30" s="85"/>
      <c r="Q30" s="33"/>
      <c r="R30" s="33"/>
      <c r="S30" s="33"/>
      <c r="T30" s="33"/>
    </row>
    <row r="31" spans="3:24" ht="15.75" thickBot="1">
      <c r="C31" s="57" t="s">
        <v>87</v>
      </c>
      <c r="D31" s="28"/>
      <c r="E31" s="70">
        <v>0</v>
      </c>
      <c r="F31" s="70">
        <v>48</v>
      </c>
      <c r="G31" s="70">
        <v>19</v>
      </c>
      <c r="H31" s="71">
        <v>48</v>
      </c>
      <c r="I31" s="71"/>
      <c r="J31" s="72"/>
      <c r="P31" s="85"/>
      <c r="Q31" s="33"/>
      <c r="R31" s="33"/>
      <c r="S31" s="33"/>
      <c r="T31" s="33"/>
    </row>
    <row r="32" spans="3:24">
      <c r="C32" s="73" t="s">
        <v>77</v>
      </c>
      <c r="D32" s="74"/>
      <c r="E32" s="75">
        <f t="shared" ref="E32:J32" si="8">E27-(E31*0.000001)</f>
        <v>2.8709084124152955E-4</v>
      </c>
      <c r="F32" s="75">
        <f t="shared" si="8"/>
        <v>2.3748533031591251E-4</v>
      </c>
      <c r="G32" s="75">
        <f t="shared" si="8"/>
        <v>2.734808866798587E-4</v>
      </c>
      <c r="H32" s="75">
        <f t="shared" si="8"/>
        <v>2.4091273957133879E-4</v>
      </c>
      <c r="I32" s="75">
        <f t="shared" si="8"/>
        <v>0</v>
      </c>
      <c r="J32" s="76">
        <f t="shared" si="8"/>
        <v>0</v>
      </c>
      <c r="P32" s="85"/>
      <c r="Q32" s="33"/>
      <c r="R32" s="33"/>
      <c r="S32" s="33"/>
      <c r="T32" s="33"/>
    </row>
    <row r="33" spans="2:20" ht="15.75" thickBot="1">
      <c r="C33" s="77" t="s">
        <v>85</v>
      </c>
      <c r="D33" s="78"/>
      <c r="E33" s="79">
        <f t="shared" ref="E33:J33" si="9">E30/E32</f>
        <v>1642.5114711454166</v>
      </c>
      <c r="F33" s="79">
        <f t="shared" si="9"/>
        <v>1664.4817575644333</v>
      </c>
      <c r="G33" s="79">
        <f t="shared" si="9"/>
        <v>1564.5334677478643</v>
      </c>
      <c r="H33" s="79">
        <f t="shared" si="9"/>
        <v>1886.8657623039205</v>
      </c>
      <c r="I33" s="79" t="e">
        <f t="shared" si="9"/>
        <v>#DIV/0!</v>
      </c>
      <c r="J33" s="80" t="e">
        <f t="shared" si="9"/>
        <v>#DIV/0!</v>
      </c>
      <c r="P33" s="85"/>
      <c r="Q33" s="33"/>
      <c r="R33" s="33"/>
      <c r="S33" s="33"/>
      <c r="T33" s="33"/>
    </row>
    <row r="34" spans="2:20">
      <c r="C34" s="15"/>
      <c r="D34" s="15"/>
      <c r="E34" s="15"/>
      <c r="F34" s="15"/>
      <c r="G34" s="15"/>
      <c r="H34" s="15"/>
      <c r="I34" s="15"/>
      <c r="J34" s="15"/>
      <c r="P34" s="85"/>
      <c r="Q34" s="33"/>
      <c r="R34" s="33"/>
      <c r="S34" s="33"/>
      <c r="T34" s="33"/>
    </row>
    <row r="35" spans="2:20">
      <c r="C35" s="84" t="s">
        <v>86</v>
      </c>
      <c r="D35" s="15"/>
      <c r="E35" s="15">
        <f>AVERAGE(E33:H33)</f>
        <v>1689.5981146904087</v>
      </c>
      <c r="F35" s="15"/>
      <c r="G35" s="15"/>
      <c r="H35" s="15"/>
      <c r="I35" s="15"/>
      <c r="J35" s="15"/>
      <c r="P35" s="85"/>
      <c r="Q35" s="33"/>
      <c r="R35" s="33"/>
      <c r="S35" s="33"/>
      <c r="T35" s="33"/>
    </row>
    <row r="36" spans="2:20">
      <c r="C36" s="84" t="s">
        <v>81</v>
      </c>
      <c r="D36" s="15"/>
      <c r="E36" s="15">
        <f>STDEV(E33:H33)/SQRT(2)</f>
        <v>97.812468620182088</v>
      </c>
      <c r="F36" s="15"/>
      <c r="G36" s="15"/>
      <c r="H36" s="15"/>
      <c r="I36" s="15"/>
      <c r="J36" s="15"/>
      <c r="P36" s="85"/>
      <c r="Q36" s="33"/>
      <c r="R36" s="33"/>
      <c r="S36" s="33"/>
      <c r="T36" s="33"/>
    </row>
    <row r="37" spans="2:20">
      <c r="P37" s="85"/>
      <c r="Q37" s="33"/>
      <c r="R37" s="33"/>
      <c r="S37" s="33"/>
      <c r="T37" s="33"/>
    </row>
    <row r="38" spans="2:20">
      <c r="C38" s="1" t="s">
        <v>13</v>
      </c>
      <c r="D38" s="1"/>
    </row>
    <row r="39" spans="2:20">
      <c r="B39">
        <v>1</v>
      </c>
      <c r="C39">
        <f>(1-(E20/'particle density'!$G$2))*100</f>
        <v>61.802628117187652</v>
      </c>
    </row>
    <row r="40" spans="2:20">
      <c r="B40">
        <v>2</v>
      </c>
      <c r="C40">
        <f>(1-(E20/'particle density'!$G$3))*100</f>
        <v>61.85127369454797</v>
      </c>
    </row>
    <row r="41" spans="2:20">
      <c r="B41">
        <v>3</v>
      </c>
      <c r="C41">
        <f>(1-(E20/'particle density'!$G$4))*100</f>
        <v>69.365607272822317</v>
      </c>
      <c r="D41" s="1"/>
    </row>
    <row r="42" spans="2:20">
      <c r="B42" t="s">
        <v>91</v>
      </c>
      <c r="C42">
        <f>(1-(E20/'particle density'!$G$5))*100</f>
        <v>64.720847407814489</v>
      </c>
    </row>
    <row r="43" spans="2:20">
      <c r="B43" t="s">
        <v>92</v>
      </c>
      <c r="C43">
        <f>STDEV(C39:C41)/SQRT(2)</f>
        <v>3.0776916299171155</v>
      </c>
    </row>
    <row r="44" spans="2:20">
      <c r="C44" s="1" t="s">
        <v>14</v>
      </c>
    </row>
    <row r="45" spans="2:20">
      <c r="B45">
        <v>1</v>
      </c>
      <c r="C45">
        <f>C39/(100-C39)</f>
        <v>1.6179811612902339</v>
      </c>
    </row>
    <row r="46" spans="2:20">
      <c r="B46">
        <v>2</v>
      </c>
      <c r="C46">
        <f>C40/(100-C40)</f>
        <v>1.6213194956841452</v>
      </c>
    </row>
    <row r="47" spans="2:20">
      <c r="B47">
        <v>3</v>
      </c>
      <c r="C47">
        <f>C41/(100-C41)</f>
        <v>2.2643049558897816</v>
      </c>
    </row>
    <row r="48" spans="2:20">
      <c r="B48" t="s">
        <v>91</v>
      </c>
      <c r="C48">
        <f>C42/(100-C42)</f>
        <v>1.8345352042880543</v>
      </c>
    </row>
    <row r="49" spans="2:3">
      <c r="B49" t="s">
        <v>92</v>
      </c>
      <c r="C49">
        <f>STDEV(C45:C47)/SQRT(2)</f>
        <v>0.2631817961628331</v>
      </c>
    </row>
  </sheetData>
  <mergeCells count="1">
    <mergeCell ref="F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B1" zoomScale="85" zoomScaleNormal="85" workbookViewId="0">
      <selection activeCell="G6" sqref="G6"/>
    </sheetView>
  </sheetViews>
  <sheetFormatPr defaultRowHeight="15"/>
  <cols>
    <col min="1" max="2" width="28.140625" bestFit="1" customWidth="1"/>
    <col min="3" max="3" width="27.28515625" bestFit="1" customWidth="1"/>
    <col min="4" max="4" width="32.140625" bestFit="1" customWidth="1"/>
    <col min="5" max="5" width="25.7109375" customWidth="1"/>
    <col min="6" max="6" width="16" customWidth="1"/>
    <col min="7" max="7" width="10.42578125" customWidth="1"/>
  </cols>
  <sheetData>
    <row r="1" spans="1:7">
      <c r="A1" t="s">
        <v>52</v>
      </c>
      <c r="B1" t="s">
        <v>15</v>
      </c>
      <c r="C1" t="s">
        <v>16</v>
      </c>
      <c r="D1" t="s">
        <v>17</v>
      </c>
      <c r="E1" t="s">
        <v>18</v>
      </c>
      <c r="F1" t="s">
        <v>12</v>
      </c>
      <c r="G1" t="s">
        <v>88</v>
      </c>
    </row>
    <row r="2" spans="1:7">
      <c r="A2">
        <v>1</v>
      </c>
      <c r="B2">
        <v>27.654599999999999</v>
      </c>
      <c r="C2">
        <v>31.352</v>
      </c>
      <c r="D2">
        <v>78.955799999999996</v>
      </c>
      <c r="E2">
        <v>76.699799999999996</v>
      </c>
      <c r="F2" s="2">
        <f>(C2-B2)/((E2-B2)-(D2-C2))</f>
        <v>2.5651449979186887</v>
      </c>
      <c r="G2">
        <f>F2*1000</f>
        <v>2565.1449979186887</v>
      </c>
    </row>
    <row r="3" spans="1:7">
      <c r="A3">
        <v>2</v>
      </c>
      <c r="B3">
        <v>25.629899999999999</v>
      </c>
      <c r="C3">
        <v>29.3446</v>
      </c>
      <c r="D3">
        <v>79.116299999999995</v>
      </c>
      <c r="E3">
        <v>76.847899999999996</v>
      </c>
      <c r="F3" s="2">
        <f t="shared" ref="F3:F4" si="0">(C3-B3)/((E3-B3)-(D3-C3))</f>
        <v>2.5684159579616943</v>
      </c>
      <c r="G3">
        <f t="shared" ref="G3:G4" si="1">F3*1000</f>
        <v>2568.4159579616944</v>
      </c>
    </row>
    <row r="4" spans="1:7">
      <c r="A4">
        <v>3</v>
      </c>
      <c r="B4">
        <v>26.069500000000001</v>
      </c>
      <c r="C4">
        <v>29.886500000000002</v>
      </c>
      <c r="D4">
        <v>77.647800000000004</v>
      </c>
      <c r="E4">
        <v>75.024199999999993</v>
      </c>
      <c r="F4" s="2">
        <f t="shared" si="0"/>
        <v>3.198424669012951</v>
      </c>
      <c r="G4">
        <f t="shared" si="1"/>
        <v>3198.4246690129512</v>
      </c>
    </row>
    <row r="5" spans="1:7">
      <c r="E5" s="9" t="s">
        <v>26</v>
      </c>
      <c r="F5">
        <f>AVERAGE(F2:F4)</f>
        <v>2.7773285416311118</v>
      </c>
      <c r="G5">
        <f>F5*1000</f>
        <v>2777.3285416311119</v>
      </c>
    </row>
    <row r="6" spans="1:7">
      <c r="E6" s="86" t="s">
        <v>27</v>
      </c>
      <c r="F6">
        <f>STDEV(F2:F4)/SQRT(2)</f>
        <v>0.25787025435951705</v>
      </c>
      <c r="G6">
        <f>STDEV(G2:G4)/SQRT(2)</f>
        <v>257.87025435952205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14" sqref="D14"/>
    </sheetView>
  </sheetViews>
  <sheetFormatPr defaultRowHeight="15"/>
  <cols>
    <col min="1" max="1" width="11" customWidth="1"/>
    <col min="3" max="3" width="13" customWidth="1"/>
  </cols>
  <sheetData>
    <row r="1" spans="1:4">
      <c r="A1" t="s">
        <v>52</v>
      </c>
      <c r="B1" t="s">
        <v>89</v>
      </c>
      <c r="C1" t="s">
        <v>90</v>
      </c>
      <c r="D1" t="s">
        <v>95</v>
      </c>
    </row>
    <row r="2" spans="1:4">
      <c r="B2">
        <v>60</v>
      </c>
      <c r="C2">
        <v>6</v>
      </c>
      <c r="D2" s="87">
        <f>Table6[[#This Row],[Peak  (Kpa)]]/Table6[[#This Row],[remoulded (Kpa)]]</f>
        <v>10</v>
      </c>
    </row>
    <row r="3" spans="1:4">
      <c r="B3">
        <v>61</v>
      </c>
      <c r="C3">
        <v>7</v>
      </c>
      <c r="D3" s="87">
        <f>Table6[[#This Row],[Peak  (Kpa)]]/Table6[[#This Row],[remoulded (Kpa)]]</f>
        <v>8.7142857142857135</v>
      </c>
    </row>
    <row r="4" spans="1:4">
      <c r="B4">
        <v>60</v>
      </c>
      <c r="C4">
        <v>8</v>
      </c>
      <c r="D4" s="87">
        <f>Table6[[#This Row],[Peak  (Kpa)]]/Table6[[#This Row],[remoulded (Kpa)]]</f>
        <v>7.5</v>
      </c>
    </row>
    <row r="5" spans="1:4">
      <c r="B5">
        <v>61</v>
      </c>
      <c r="C5">
        <v>5</v>
      </c>
      <c r="D5" s="87">
        <f>Table6[[#This Row],[Peak  (Kpa)]]/Table6[[#This Row],[remoulded (Kpa)]]</f>
        <v>12.2</v>
      </c>
    </row>
    <row r="6" spans="1:4">
      <c r="B6">
        <v>60</v>
      </c>
      <c r="C6">
        <v>6</v>
      </c>
      <c r="D6" s="87">
        <f>Table6[[#This Row],[Peak  (Kpa)]]/Table6[[#This Row],[remoulded (Kpa)]]</f>
        <v>10</v>
      </c>
    </row>
    <row r="7" spans="1:4">
      <c r="B7">
        <v>60</v>
      </c>
      <c r="C7">
        <v>6</v>
      </c>
      <c r="D7" s="87">
        <f>Table6[[#This Row],[Peak  (Kpa)]]/Table6[[#This Row],[remoulded (Kpa)]]</f>
        <v>10</v>
      </c>
    </row>
    <row r="8" spans="1:4">
      <c r="B8">
        <v>60</v>
      </c>
      <c r="C8">
        <v>6</v>
      </c>
      <c r="D8" s="87">
        <f>Table6[[#This Row],[Peak  (Kpa)]]/Table6[[#This Row],[remoulded (Kpa)]]</f>
        <v>10</v>
      </c>
    </row>
    <row r="9" spans="1:4">
      <c r="B9">
        <v>61</v>
      </c>
      <c r="C9">
        <v>6</v>
      </c>
      <c r="D9" s="87">
        <f>Table6[[#This Row],[Peak  (Kpa)]]/Table6[[#This Row],[remoulded (Kpa)]]</f>
        <v>10.166666666666666</v>
      </c>
    </row>
    <row r="10" spans="1:4">
      <c r="B10">
        <v>60</v>
      </c>
      <c r="C10">
        <v>7</v>
      </c>
      <c r="D10" s="87">
        <f>Table6[[#This Row],[Peak  (Kpa)]]/Table6[[#This Row],[remoulded (Kpa)]]</f>
        <v>8.5714285714285712</v>
      </c>
    </row>
    <row r="11" spans="1:4">
      <c r="B11">
        <v>61</v>
      </c>
      <c r="C11">
        <v>6</v>
      </c>
      <c r="D11" s="87">
        <f>Table6[[#This Row],[Peak  (Kpa)]]/Table6[[#This Row],[remoulded (Kpa)]]</f>
        <v>10.166666666666666</v>
      </c>
    </row>
    <row r="12" spans="1:4">
      <c r="A12" t="s">
        <v>93</v>
      </c>
      <c r="B12">
        <f>AVERAGE(B2:B11)</f>
        <v>60.4</v>
      </c>
      <c r="C12">
        <f>AVERAGE(C2:C11)</f>
        <v>6.3</v>
      </c>
      <c r="D12" s="87">
        <f>Table6[[#This Row],[Peak  (Kpa)]]/Table6[[#This Row],[remoulded (Kpa)]]</f>
        <v>9.587301587301587</v>
      </c>
    </row>
    <row r="13" spans="1:4">
      <c r="A13" t="s">
        <v>94</v>
      </c>
      <c r="B13">
        <f>STDEV(B2:B11)/SQRT(2)</f>
        <v>0.36514837167011066</v>
      </c>
      <c r="C13">
        <f>STDEV(C2:C11)/SQRT(2)</f>
        <v>0.58214163988576706</v>
      </c>
      <c r="D13" s="87">
        <f>STDEV(D2:D11)/SQRT(2)</f>
        <v>0.88571008988025568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moisture content and atterberg</vt:lpstr>
      <vt:lpstr>bulk density</vt:lpstr>
      <vt:lpstr>particle density</vt:lpstr>
      <vt:lpstr>shear vane results</vt:lpstr>
    </vt:vector>
  </TitlesOfParts>
  <Company>University of Waikato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Mills, Pip</dc:creator>
  <cp:lastModifiedBy>Mills, Pip</cp:lastModifiedBy>
  <dcterms:created xsi:type="dcterms:W3CDTF">2015-04-02T01:56:16Z</dcterms:created>
  <dcterms:modified xsi:type="dcterms:W3CDTF">2016-06-15T03:36:03Z</dcterms:modified>
</cp:coreProperties>
</file>