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ppa\Google Drive\aaTHESIS\appendices\geomechanical properties\Omokoroa OM1\"/>
    </mc:Choice>
  </mc:AlternateContent>
  <bookViews>
    <workbookView xWindow="0" yWindow="-20" windowWidth="9570" windowHeight="11540" tabRatio="762" activeTab="3"/>
  </bookViews>
  <sheets>
    <sheet name="moisture content and atterbergs" sheetId="1" r:id="rId1"/>
    <sheet name="bulk density" sheetId="2" r:id="rId2"/>
    <sheet name="particle density" sheetId="3" r:id="rId3"/>
    <sheet name="shear vane readings" sheetId="4" r:id="rId4"/>
  </sheets>
  <calcPr calcId="152511"/>
</workbook>
</file>

<file path=xl/calcChain.xml><?xml version="1.0" encoding="utf-8"?>
<calcChain xmlns="http://schemas.openxmlformats.org/spreadsheetml/2006/main">
  <c r="D7" i="4" l="1"/>
  <c r="B42" i="2"/>
  <c r="B49" i="2" s="1"/>
  <c r="B41" i="2"/>
  <c r="B48" i="2" s="1"/>
  <c r="B40" i="2"/>
  <c r="B47" i="2" s="1"/>
  <c r="B51" i="2" s="1"/>
  <c r="B43" i="2" l="1"/>
  <c r="B50" i="2" s="1"/>
  <c r="B44" i="2"/>
  <c r="H31" i="2"/>
  <c r="G31" i="2"/>
  <c r="F31" i="2"/>
  <c r="E31" i="2"/>
  <c r="D31" i="2"/>
  <c r="C31" i="2"/>
  <c r="H28" i="2"/>
  <c r="H33" i="2" s="1"/>
  <c r="G28" i="2"/>
  <c r="G33" i="2" s="1"/>
  <c r="F28" i="2"/>
  <c r="F33" i="2" s="1"/>
  <c r="E28" i="2"/>
  <c r="E33" i="2" s="1"/>
  <c r="D28" i="2"/>
  <c r="D33" i="2" s="1"/>
  <c r="C28" i="2"/>
  <c r="C33" i="2" s="1"/>
  <c r="H16" i="2"/>
  <c r="G16" i="2"/>
  <c r="F16" i="2"/>
  <c r="E16" i="2"/>
  <c r="D16" i="2"/>
  <c r="C16" i="2"/>
  <c r="P15" i="2"/>
  <c r="O15" i="2"/>
  <c r="N15" i="2"/>
  <c r="M15" i="2"/>
  <c r="L15" i="2"/>
  <c r="K15" i="2"/>
  <c r="H13" i="2"/>
  <c r="H18" i="2" s="1"/>
  <c r="G13" i="2"/>
  <c r="G18" i="2" s="1"/>
  <c r="F13" i="2"/>
  <c r="F18" i="2" s="1"/>
  <c r="E13" i="2"/>
  <c r="E18" i="2" s="1"/>
  <c r="D13" i="2"/>
  <c r="D18" i="2" s="1"/>
  <c r="C13" i="2"/>
  <c r="C18" i="2" s="1"/>
  <c r="C19" i="2" l="1"/>
  <c r="E19" i="2"/>
  <c r="G19" i="2"/>
  <c r="C34" i="2"/>
  <c r="E34" i="2"/>
  <c r="E20" i="2" s="1"/>
  <c r="G34" i="2"/>
  <c r="D19" i="2"/>
  <c r="F19" i="2"/>
  <c r="H19" i="2"/>
  <c r="D34" i="2"/>
  <c r="D20" i="2" s="1"/>
  <c r="F34" i="2"/>
  <c r="H34" i="2"/>
  <c r="E5" i="1"/>
  <c r="E4" i="1"/>
  <c r="B36" i="1"/>
  <c r="B38" i="1" s="1"/>
  <c r="B40" i="1" s="1"/>
  <c r="E10" i="1"/>
  <c r="E11" i="1"/>
  <c r="E12" i="1"/>
  <c r="C37" i="2" l="1"/>
  <c r="C20" i="2"/>
  <c r="C36" i="2"/>
  <c r="E13" i="1"/>
  <c r="E14" i="1"/>
  <c r="C12" i="4"/>
  <c r="C11" i="4"/>
  <c r="B11" i="4"/>
  <c r="B12" i="4" s="1"/>
  <c r="C22" i="2" l="1"/>
  <c r="C21" i="2"/>
  <c r="F2" i="3"/>
  <c r="G2" i="3" l="1"/>
  <c r="D4" i="4" l="1"/>
  <c r="D5" i="4"/>
  <c r="D6" i="4"/>
  <c r="D8" i="4"/>
  <c r="D9" i="4"/>
  <c r="D10" i="4"/>
  <c r="D3" i="4"/>
  <c r="D11" i="4" l="1"/>
  <c r="D12" i="4" s="1"/>
  <c r="F17" i="1"/>
  <c r="B33" i="1" l="1"/>
  <c r="G17" i="1" l="1"/>
  <c r="F3" i="3"/>
  <c r="F4" i="3"/>
  <c r="G4" i="3" s="1"/>
  <c r="G3" i="3" l="1"/>
  <c r="F6" i="3"/>
  <c r="F5" i="3"/>
  <c r="E3" i="1"/>
  <c r="G30" i="1"/>
  <c r="G26" i="1"/>
  <c r="G22" i="1"/>
  <c r="B29" i="1"/>
  <c r="B25" i="1"/>
  <c r="B21" i="1"/>
  <c r="F30" i="1"/>
  <c r="F26" i="1"/>
  <c r="F22" i="1"/>
  <c r="G5" i="3" l="1"/>
  <c r="G6" i="3"/>
  <c r="E6" i="1"/>
  <c r="B39" i="1" s="1"/>
  <c r="B41" i="1" s="1"/>
  <c r="E7" i="1"/>
</calcChain>
</file>

<file path=xl/sharedStrings.xml><?xml version="1.0" encoding="utf-8"?>
<sst xmlns="http://schemas.openxmlformats.org/spreadsheetml/2006/main" count="114" uniqueCount="90">
  <si>
    <t>moisture content</t>
  </si>
  <si>
    <t>moisture content (ml)</t>
  </si>
  <si>
    <t>container wt (g)</t>
  </si>
  <si>
    <t>container + wet weight (g)</t>
  </si>
  <si>
    <t>wet weight + container (g)</t>
  </si>
  <si>
    <t>Liquid Limit</t>
  </si>
  <si>
    <t>Cone drop readings (mm)</t>
  </si>
  <si>
    <t>48 hour</t>
  </si>
  <si>
    <t>container weight (g)</t>
  </si>
  <si>
    <t>dry weight of soil(g)</t>
  </si>
  <si>
    <t>moisture content (%)</t>
  </si>
  <si>
    <t>bottle + stopper (g)</t>
  </si>
  <si>
    <t>soil bottle stopper (g)</t>
  </si>
  <si>
    <t>bottle + stopper + soil+ liquid (g)</t>
  </si>
  <si>
    <t>bottle + stopper + liquid (g)</t>
  </si>
  <si>
    <t>peak</t>
  </si>
  <si>
    <t>remoulded</t>
  </si>
  <si>
    <t>sensitivity</t>
  </si>
  <si>
    <t>particle density (g/cm3)</t>
  </si>
  <si>
    <t>particle density (kg/m3)</t>
  </si>
  <si>
    <t>standard error</t>
  </si>
  <si>
    <t>Column1</t>
  </si>
  <si>
    <t xml:space="preserve">container + wet weight (g) </t>
  </si>
  <si>
    <t>Sample</t>
  </si>
  <si>
    <t>Results summary</t>
  </si>
  <si>
    <t>dry weight + container after 4 days</t>
  </si>
  <si>
    <t>AVERAGE</t>
  </si>
  <si>
    <t>Std ERROR</t>
  </si>
  <si>
    <t>StD ERROR</t>
  </si>
  <si>
    <t>Liquid Limit (%)</t>
  </si>
  <si>
    <t>Plastic Limit (%)</t>
  </si>
  <si>
    <t>Plasticity Index (%)</t>
  </si>
  <si>
    <t>Liquidity Index (%)</t>
  </si>
  <si>
    <t>Activity (%)</t>
  </si>
  <si>
    <t>container + wet weight (g) after 4 days</t>
  </si>
  <si>
    <t>plastic limit (%)2</t>
  </si>
  <si>
    <t>1a</t>
  </si>
  <si>
    <t>1b</t>
  </si>
  <si>
    <t>1c</t>
  </si>
  <si>
    <t>1d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</si>
  <si>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</si>
  <si>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</si>
  <si>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</si>
  <si>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</si>
  <si>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</si>
  <si>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</si>
  <si>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</si>
  <si>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</si>
  <si>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</si>
  <si>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Moisture content (%)</t>
  </si>
  <si>
    <t>BULK DENSITY TEST RESULTS</t>
  </si>
  <si>
    <t>PROJECT:</t>
  </si>
  <si>
    <t>Omokoroa 29 June 2015</t>
  </si>
  <si>
    <t>LOCATION:</t>
  </si>
  <si>
    <t>Base of main slide, RH flank</t>
  </si>
  <si>
    <t>SITE NO:</t>
  </si>
  <si>
    <t>CO-ORDINATES: mN</t>
  </si>
  <si>
    <t>SAMPLE NO:</t>
  </si>
  <si>
    <t xml:space="preserve">     mE</t>
  </si>
  <si>
    <t>DRY BULK DENSITY</t>
  </si>
  <si>
    <t>ring 1 volume</t>
  </si>
  <si>
    <t>ring 2 volume</t>
  </si>
  <si>
    <t>ring 3 volume</t>
  </si>
  <si>
    <t>Length of sample (mm):</t>
  </si>
  <si>
    <t>diameter</t>
  </si>
  <si>
    <t>length</t>
  </si>
  <si>
    <t>Diameter of sample (mm):</t>
  </si>
  <si>
    <t>Volume of corer (m3):</t>
  </si>
  <si>
    <t>Mass of ring + trays + dry soil (g):</t>
  </si>
  <si>
    <t>Mass of ring + trays (g):</t>
  </si>
  <si>
    <t>mean</t>
  </si>
  <si>
    <t>Mass of soil (kg):</t>
  </si>
  <si>
    <t>Volume of birdseed (ml):</t>
    <phoneticPr fontId="0" type="noConversion"/>
  </si>
  <si>
    <t>Volume of soil (m3):</t>
  </si>
  <si>
    <t>Dry bulk density (kg  m-3):</t>
  </si>
  <si>
    <t>Dry bulk density (kg  m-3) (Pip)</t>
  </si>
  <si>
    <t xml:space="preserve">AVERAGE DRY BULK DENSITY = </t>
  </si>
  <si>
    <t>BULK DENSITY</t>
  </si>
  <si>
    <t>Mass of ring + moist soil (g):</t>
  </si>
  <si>
    <t>Mass of ring (g):</t>
  </si>
  <si>
    <t>Bulk density (kg  m-3):</t>
  </si>
  <si>
    <t xml:space="preserve">AVERAGE FIELD MOIST BULK DENSITY = </t>
  </si>
  <si>
    <t>OS1</t>
  </si>
  <si>
    <t xml:space="preserve">AVERAGE </t>
  </si>
  <si>
    <t>porosity (%)</t>
  </si>
  <si>
    <t>average</t>
  </si>
  <si>
    <t>st error</t>
  </si>
  <si>
    <t>voids ratio</t>
  </si>
  <si>
    <t>replicate</t>
  </si>
  <si>
    <t>Sample site 2 (RH flank scarp) (OM1)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</si>
</sst>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0"/>
      <name val="Palatino"/>
    </font>
    <font>
      <sz val="16"/>
      <name val="Arial"/>
      <family val="2"/>
    </font>
    <font>
      <sz val="16"/>
      <name val="Geneva"/>
    </font>
    <font>
      <b/>
      <sz val="10"/>
      <name val="Palatino"/>
    </font>
    <font>
      <b/>
      <sz val="10"/>
      <name val="Arial"/>
      <family val="2"/>
    </font>
    <font>
      <b/>
      <sz val="10"/>
      <name val="Geneva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26"/>
        <bgColor indexed="64"/>
      </patternFill>
    </fill>
    <fill>
      <patternFill patternType="lightGray"/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3" fillId="4" borderId="2" applyNumberFormat="0" applyFont="0" applyAlignment="0" applyProtection="0"/>
    <xf numFmtId="0" fontId="10" fillId="0" borderId="0"/>
    <xf numFmtId="0" fontId="7" fillId="0" borderId="0"/>
    <xf numFmtId="166" fontId="7" fillId="0" borderId="21">
      <alignment horizontal="center"/>
    </xf>
    <xf numFmtId="2" fontId="7" fillId="6" borderId="18" applyFill="0" applyBorder="0">
      <alignment horizontal="center"/>
    </xf>
  </cellStyleXfs>
  <cellXfs count="88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horizontal="center" vertical="center" readingOrder="1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NumberFormat="1" applyFont="1"/>
    <xf numFmtId="0" fontId="4" fillId="2" borderId="3" xfId="1" applyBorder="1"/>
    <xf numFmtId="0" fontId="4" fillId="2" borderId="0" xfId="1"/>
    <xf numFmtId="0" fontId="5" fillId="3" borderId="1" xfId="2"/>
    <xf numFmtId="165" fontId="0" fillId="0" borderId="0" xfId="0" applyNumberFormat="1"/>
    <xf numFmtId="165" fontId="0" fillId="0" borderId="0" xfId="0" applyNumberFormat="1" applyFont="1"/>
    <xf numFmtId="0" fontId="6" fillId="0" borderId="0" xfId="0" applyFont="1"/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Border="1" applyAlignment="1"/>
    <xf numFmtId="1" fontId="7" fillId="0" borderId="0" xfId="0" applyNumberFormat="1" applyFont="1" applyBorder="1"/>
    <xf numFmtId="0" fontId="7" fillId="0" borderId="0" xfId="0" applyFont="1" applyBorder="1"/>
    <xf numFmtId="0" fontId="0" fillId="0" borderId="0" xfId="0" applyBorder="1"/>
    <xf numFmtId="0" fontId="8" fillId="0" borderId="0" xfId="0" applyFont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/>
    <xf numFmtId="2" fontId="8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165" fontId="6" fillId="0" borderId="0" xfId="0" applyNumberFormat="1" applyFont="1" applyBorder="1" applyAlignment="1">
      <alignment horizontal="left"/>
    </xf>
    <xf numFmtId="165" fontId="6" fillId="0" borderId="0" xfId="0" applyNumberFormat="1" applyFont="1" applyBorder="1"/>
    <xf numFmtId="0" fontId="6" fillId="0" borderId="0" xfId="0" applyFont="1" applyBorder="1"/>
    <xf numFmtId="165" fontId="6" fillId="0" borderId="4" xfId="0" applyNumberFormat="1" applyFont="1" applyBorder="1" applyAlignment="1"/>
    <xf numFmtId="165" fontId="6" fillId="5" borderId="5" xfId="0" applyNumberFormat="1" applyFont="1" applyFill="1" applyBorder="1" applyAlignment="1"/>
    <xf numFmtId="165" fontId="6" fillId="0" borderId="5" xfId="0" applyNumberFormat="1" applyFont="1" applyBorder="1" applyAlignment="1"/>
    <xf numFmtId="165" fontId="6" fillId="0" borderId="6" xfId="0" applyNumberFormat="1" applyFont="1" applyBorder="1" applyAlignment="1"/>
    <xf numFmtId="0" fontId="7" fillId="0" borderId="0" xfId="0" applyFont="1"/>
    <xf numFmtId="165" fontId="6" fillId="0" borderId="7" xfId="0" applyNumberFormat="1" applyFont="1" applyBorder="1" applyAlignment="1"/>
    <xf numFmtId="1" fontId="6" fillId="5" borderId="8" xfId="0" applyNumberFormat="1" applyFont="1" applyFill="1" applyBorder="1" applyAlignment="1"/>
    <xf numFmtId="165" fontId="6" fillId="5" borderId="8" xfId="0" applyNumberFormat="1" applyFont="1" applyFill="1" applyBorder="1" applyAlignment="1"/>
    <xf numFmtId="165" fontId="6" fillId="0" borderId="9" xfId="0" applyNumberFormat="1" applyFont="1" applyBorder="1" applyAlignment="1"/>
    <xf numFmtId="165" fontId="6" fillId="0" borderId="10" xfId="0" applyNumberFormat="1" applyFont="1" applyBorder="1" applyAlignment="1"/>
    <xf numFmtId="1" fontId="6" fillId="5" borderId="11" xfId="0" applyNumberFormat="1" applyFont="1" applyFill="1" applyBorder="1" applyAlignment="1"/>
    <xf numFmtId="165" fontId="6" fillId="0" borderId="11" xfId="0" applyNumberFormat="1" applyFont="1" applyBorder="1" applyAlignment="1"/>
    <xf numFmtId="165" fontId="6" fillId="0" borderId="11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right"/>
    </xf>
    <xf numFmtId="165" fontId="6" fillId="5" borderId="11" xfId="0" applyNumberFormat="1" applyFont="1" applyFill="1" applyBorder="1" applyAlignment="1"/>
    <xf numFmtId="165" fontId="6" fillId="0" borderId="12" xfId="0" applyNumberFormat="1" applyFont="1" applyBorder="1" applyAlignment="1"/>
    <xf numFmtId="0" fontId="11" fillId="0" borderId="7" xfId="4" applyFont="1" applyBorder="1"/>
    <xf numFmtId="0" fontId="6" fillId="0" borderId="8" xfId="0" applyFont="1" applyBorder="1"/>
    <xf numFmtId="165" fontId="6" fillId="0" borderId="9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6" fillId="0" borderId="13" xfId="5" applyFont="1" applyBorder="1" applyAlignment="1">
      <alignment horizontal="center"/>
    </xf>
    <xf numFmtId="0" fontId="6" fillId="0" borderId="14" xfId="5" applyFont="1" applyBorder="1" applyAlignment="1">
      <alignment horizontal="center"/>
    </xf>
    <xf numFmtId="0" fontId="11" fillId="0" borderId="0" xfId="5" applyFont="1" applyBorder="1" applyAlignment="1">
      <alignment horizontal="left"/>
    </xf>
    <xf numFmtId="0" fontId="6" fillId="0" borderId="0" xfId="5" applyFont="1" applyBorder="1" applyAlignment="1">
      <alignment horizontal="left"/>
    </xf>
    <xf numFmtId="0" fontId="6" fillId="0" borderId="15" xfId="5" applyFont="1" applyBorder="1" applyAlignment="1">
      <alignment horizontal="left"/>
    </xf>
    <xf numFmtId="2" fontId="6" fillId="5" borderId="16" xfId="0" applyNumberFormat="1" applyFont="1" applyFill="1" applyBorder="1" applyAlignment="1"/>
    <xf numFmtId="2" fontId="6" fillId="5" borderId="17" xfId="0" applyNumberFormat="1" applyFont="1" applyFill="1" applyBorder="1" applyAlignment="1"/>
    <xf numFmtId="0" fontId="6" fillId="0" borderId="15" xfId="5" applyFont="1" applyBorder="1"/>
    <xf numFmtId="2" fontId="6" fillId="5" borderId="18" xfId="0" applyNumberFormat="1" applyFont="1" applyFill="1" applyBorder="1" applyAlignment="1"/>
    <xf numFmtId="2" fontId="6" fillId="5" borderId="19" xfId="0" applyNumberFormat="1" applyFont="1" applyFill="1" applyBorder="1" applyAlignment="1"/>
    <xf numFmtId="2" fontId="6" fillId="0" borderId="0" xfId="5" applyNumberFormat="1" applyFont="1" applyBorder="1" applyAlignment="1">
      <alignment horizontal="left"/>
    </xf>
    <xf numFmtId="0" fontId="6" fillId="0" borderId="4" xfId="5" applyFont="1" applyBorder="1"/>
    <xf numFmtId="0" fontId="6" fillId="0" borderId="20" xfId="0" applyFont="1" applyBorder="1"/>
    <xf numFmtId="166" fontId="6" fillId="0" borderId="5" xfId="6" applyFont="1" applyBorder="1">
      <alignment horizontal="center"/>
    </xf>
    <xf numFmtId="166" fontId="6" fillId="0" borderId="22" xfId="6" applyFont="1" applyBorder="1">
      <alignment horizontal="center"/>
    </xf>
    <xf numFmtId="166" fontId="6" fillId="0" borderId="23" xfId="6" applyFont="1" applyBorder="1">
      <alignment horizontal="center"/>
    </xf>
    <xf numFmtId="166" fontId="6" fillId="0" borderId="24" xfId="6" applyFont="1" applyBorder="1">
      <alignment horizontal="center"/>
    </xf>
    <xf numFmtId="0" fontId="11" fillId="0" borderId="0" xfId="0" applyFont="1"/>
    <xf numFmtId="165" fontId="11" fillId="0" borderId="0" xfId="0" applyNumberFormat="1" applyFont="1" applyAlignment="1">
      <alignment horizontal="left"/>
    </xf>
    <xf numFmtId="0" fontId="6" fillId="0" borderId="5" xfId="0" applyFont="1" applyBorder="1"/>
    <xf numFmtId="165" fontId="6" fillId="5" borderId="21" xfId="0" applyNumberFormat="1" applyFont="1" applyFill="1" applyBorder="1" applyAlignment="1"/>
    <xf numFmtId="1" fontId="6" fillId="5" borderId="21" xfId="0" applyNumberFormat="1" applyFont="1" applyFill="1" applyBorder="1" applyAlignment="1"/>
    <xf numFmtId="1" fontId="6" fillId="5" borderId="25" xfId="0" applyNumberFormat="1" applyFont="1" applyFill="1" applyBorder="1" applyAlignment="1"/>
    <xf numFmtId="0" fontId="6" fillId="0" borderId="7" xfId="5" applyFont="1" applyBorder="1"/>
    <xf numFmtId="0" fontId="6" fillId="0" borderId="26" xfId="0" applyFont="1" applyBorder="1"/>
    <xf numFmtId="166" fontId="6" fillId="0" borderId="27" xfId="6" applyFont="1" applyBorder="1">
      <alignment horizontal="center"/>
    </xf>
    <xf numFmtId="166" fontId="6" fillId="0" borderId="9" xfId="6" applyFont="1" applyBorder="1">
      <alignment horizontal="center"/>
    </xf>
    <xf numFmtId="0" fontId="6" fillId="0" borderId="10" xfId="5" applyFont="1" applyBorder="1"/>
    <xf numFmtId="0" fontId="6" fillId="0" borderId="28" xfId="0" applyFont="1" applyBorder="1"/>
    <xf numFmtId="2" fontId="6" fillId="0" borderId="13" xfId="7" applyFont="1" applyFill="1" applyBorder="1">
      <alignment horizontal="center"/>
    </xf>
    <xf numFmtId="2" fontId="6" fillId="0" borderId="12" xfId="7" applyFont="1" applyFill="1" applyBorder="1">
      <alignment horizontal="center"/>
    </xf>
    <xf numFmtId="165" fontId="4" fillId="4" borderId="2" xfId="3" applyNumberFormat="1" applyFont="1" applyAlignment="1">
      <alignment horizontal="center"/>
    </xf>
    <xf numFmtId="0" fontId="12" fillId="0" borderId="0" xfId="0" applyFont="1"/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Border="1" applyAlignment="1">
      <alignment horizontal="center"/>
    </xf>
    <xf numFmtId="165" fontId="5" fillId="3" borderId="1" xfId="2" applyNumberFormat="1"/>
    <xf numFmtId="0" fontId="0" fillId="0" borderId="0" xfId="0" applyFill="1"/>
    <xf numFmtId="0" fontId="1" fillId="0" borderId="0" xfId="0" applyFont="1" applyFill="1"/>
    <xf numFmtId="165" fontId="6" fillId="0" borderId="8" xfId="0" applyNumberFormat="1" applyFont="1" applyBorder="1" applyAlignment="1">
      <alignment horizontal="right"/>
    </xf>
  </cellXfs>
  <cellStyles count="8">
    <cellStyle name="Good" xfId="1" builtinId="26"/>
    <cellStyle name="Input" xfId="2" builtinId="20"/>
    <cellStyle name="label" xfId="4"/>
    <cellStyle name="Normal" xfId="0" builtinId="0"/>
    <cellStyle name="Note" xfId="3" builtinId="10"/>
    <cellStyle name="number2" xfId="7"/>
    <cellStyle name="number5" xfId="6"/>
    <cellStyle name="standard" xfId="5"/>
  </cellStyles>
  <dxfs count="9">
    <dxf>
      <numFmt numFmtId="164" formatCode="0.0000"/>
    </dxf>
    <dxf>
      <numFmt numFmtId="165" formatCode="0.0"/>
    </dxf>
    <dxf>
      <numFmt numFmtId="165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liquid limit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8.0892034395872642E-2"/>
                  <c:y val="-4.9886993292505106E-3"/>
                </c:manualLayout>
              </c:layout>
              <c:numFmt formatCode="General" sourceLinked="0"/>
            </c:trendlineLbl>
          </c:trendline>
          <c:xVal>
            <c:numRef>
              <c:f>('moisture content and atterbergs'!$B$21,'moisture content and atterbergs'!$B$25,'moisture content and atterbergs'!$B$29,'moisture content and atterbergs'!$B$33)</c:f>
              <c:numCache>
                <c:formatCode>General</c:formatCode>
                <c:ptCount val="4"/>
                <c:pt idx="0">
                  <c:v>159</c:v>
                </c:pt>
                <c:pt idx="1">
                  <c:v>221.33333333333334</c:v>
                </c:pt>
                <c:pt idx="2">
                  <c:v>234</c:v>
                </c:pt>
                <c:pt idx="3">
                  <c:v>284.66666666666669</c:v>
                </c:pt>
              </c:numCache>
            </c:numRef>
          </c:xVal>
          <c:yVal>
            <c:numRef>
              <c:f>('moisture content and atterbergs'!$G$17,'moisture content and atterbergs'!$G$22,'moisture content and atterbergs'!$G$26,'moisture content and atterbergs'!$G$30)</c:f>
              <c:numCache>
                <c:formatCode>General</c:formatCode>
                <c:ptCount val="4"/>
                <c:pt idx="0">
                  <c:v>74.12960186573379</c:v>
                </c:pt>
                <c:pt idx="1">
                  <c:v>77.915063128755676</c:v>
                </c:pt>
                <c:pt idx="2">
                  <c:v>78.265563152213034</c:v>
                </c:pt>
                <c:pt idx="3">
                  <c:v>81.573365304804952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043592"/>
        <c:axId val="310169992"/>
      </c:scatterChart>
      <c:valAx>
        <c:axId val="310043592"/>
        <c:scaling>
          <c:orientation val="minMax"/>
          <c:min val="12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Cone</a:t>
                </a:r>
                <a:r>
                  <a:rPr lang="en-NZ" baseline="0"/>
                  <a:t> drop readings (mm)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0.45643761807284877"/>
              <c:y val="0.88331000291630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10169992"/>
        <c:crosses val="autoZero"/>
        <c:crossBetween val="midCat"/>
      </c:valAx>
      <c:valAx>
        <c:axId val="310169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NZ"/>
                  <a:t>Moisture content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0043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774224</xdr:colOff>
      <xdr:row>34</xdr:row>
      <xdr:rowOff>104520</xdr:rowOff>
    </xdr:from>
    <xdr:to>
      <xdr:col>7</xdr:col>
      <xdr:colOff>1367118</xdr:colOff>
      <xdr:row>53</xdr:row>
      <xdr:rowOff>11206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0</xdr:row>
      <xdr:rowOff>38100</xdr:rowOff>
    </xdr:from>
    <xdr:to>
      <xdr:col>10</xdr:col>
      <xdr:colOff>57150</xdr:colOff>
      <xdr:row>3</xdr:row>
      <xdr:rowOff>9525</xdr:rowOff>
    </xdr:to>
    <xdr:pic>
      <xdr:nvPicPr>
        <xdr:cNvPr id="3" name="Picture 10" descr="Waik_Word_RGB_H_1Black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38100"/>
          <a:ext cx="1524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E8" totalsRowShown="0">
  <autoFilter ref="A2:E8"/>
  <tableColumns count="5">
    <tableColumn id="1" name="Sample"/>
    <tableColumn id="2" name="container wt (g)"/>
    <tableColumn id="3" name="container + wet weight (g)"/>
    <tableColumn id="6" name="container + wet weight (g) after 4 days"/>
    <tableColumn id="8" name="moisture content (%)">
      <calculatedColumnFormula>((C3-D3)/(D3-B3))*100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E14" totalsRowCount="1">
  <autoFilter ref="A9:E13"/>
  <tableColumns count="5">
    <tableColumn id="1" name="Sample" totalsRowDxfId="8"/>
    <tableColumn id="2" name="container wt (g)"/>
    <tableColumn id="3" name="wet weight + container (g)"/>
    <tableColumn id="6" name="dry weight + container after 4 days" totalsRowLabel="StD ERROR" totalsRowDxfId="7"/>
    <tableColumn id="7" name="plastic limit (%)2" totalsRowFunction="custom" dataDxfId="6" totalsRowDxfId="5">
      <calculatedColumnFormula>(C10-D10)/(D10-B10)*100</calculatedColumnFormula>
      <totalsRowFormula>STDEV(E10:E12)/SQRT(2)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6:G33" totalsRowShown="0" headerRowDxfId="4">
  <autoFilter ref="A16:G33"/>
  <tableColumns count="7">
    <tableColumn id="1" name="Sample"/>
    <tableColumn id="3" name="Cone drop readings (mm)"/>
    <tableColumn id="4" name="container weight (g)"/>
    <tableColumn id="5" name="container + wet weight (g) "/>
    <tableColumn id="7" name="48 hour"/>
    <tableColumn id="8" name="dry weight of soil(g)"/>
    <tableColumn id="9" name="moisture conte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5:C41" totalsRowShown="0">
  <autoFilter ref="A35:C41"/>
  <tableColumns count="3">
    <tableColumn id="1" name="Results summary" dataDxfId="3"/>
    <tableColumn id="2" name="Column1" dataDxfId="2"/>
    <tableColumn id="3" name="Std ERROR" dataDxfId="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6" totalsRowShown="0">
  <autoFilter ref="A1:G6"/>
  <tableColumns count="7">
    <tableColumn id="1" name="Sample"/>
    <tableColumn id="2" name="bottle + stopper (g)"/>
    <tableColumn id="3" name="soil bottle stopper (g)"/>
    <tableColumn id="4" name="bottle + stopper + soil+ liquid (g)"/>
    <tableColumn id="5" name="bottle + stopper + liquid (g)"/>
    <tableColumn id="6" name="particle density (g/cm3)" dataDxfId="0"/>
    <tableColumn id="7" name="particle density (kg/m3)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Table8" displayName="Table8" ref="B2:D12" totalsRowShown="0">
  <autoFilter ref="B2:D12"/>
  <tableColumns count="3">
    <tableColumn id="1" name="peak"/>
    <tableColumn id="2" name="remoulded"/>
    <tableColumn id="3" name="sensitiv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1" zoomScale="70" zoomScaleNormal="70" workbookViewId="0">
      <selection activeCell="H32" sqref="H32"/>
    </sheetView>
  </sheetViews>
  <sheetFormatPr defaultRowHeight="14.5"/>
  <cols>
    <col min="1" max="1" width="23" bestFit="1" customWidth="1"/>
    <col min="2" max="2" width="13.7265625" customWidth="1"/>
    <col min="3" max="3" width="28.453125" customWidth="1"/>
    <col min="4" max="4" width="23.7265625" customWidth="1"/>
    <col min="5" max="5" width="29.54296875" customWidth="1"/>
    <col min="6" max="7" width="12.7265625" customWidth="1"/>
    <col min="8" max="8" width="23.7265625" customWidth="1"/>
    <col min="9" max="9" width="21" bestFit="1" customWidth="1"/>
  </cols>
  <sheetData>
    <row r="1" spans="1:7">
      <c r="A1" s="7" t="s">
        <v>1</v>
      </c>
    </row>
    <row r="2" spans="1:7">
      <c r="A2" t="s">
        <v>23</v>
      </c>
      <c r="B2" s="1" t="s">
        <v>2</v>
      </c>
      <c r="C2" s="1" t="s">
        <v>3</v>
      </c>
      <c r="D2" s="1" t="s">
        <v>34</v>
      </c>
      <c r="E2" t="s">
        <v>10</v>
      </c>
    </row>
    <row r="3" spans="1:7">
      <c r="A3">
        <v>1</v>
      </c>
      <c r="B3">
        <v>0.874</v>
      </c>
      <c r="C3">
        <v>16.731200000000001</v>
      </c>
      <c r="D3">
        <v>10.07</v>
      </c>
      <c r="E3">
        <f>((C3-D3)/(D3-B3))*100</f>
        <v>72.435841670291438</v>
      </c>
    </row>
    <row r="4" spans="1:7">
      <c r="A4">
        <v>2</v>
      </c>
      <c r="B4">
        <v>0.88639999999999997</v>
      </c>
      <c r="C4">
        <v>20.876300000000001</v>
      </c>
      <c r="D4">
        <v>12.56</v>
      </c>
      <c r="E4">
        <f>((C4-D4)/(D4-B4))*100</f>
        <v>71.240234375</v>
      </c>
    </row>
    <row r="5" spans="1:7">
      <c r="A5">
        <v>3</v>
      </c>
      <c r="B5">
        <v>0.89490000000000003</v>
      </c>
      <c r="C5">
        <v>18.95</v>
      </c>
      <c r="D5">
        <v>11.36</v>
      </c>
      <c r="E5">
        <f>((C5-D5)/(D5-B5))*100</f>
        <v>72.526779486101418</v>
      </c>
    </row>
    <row r="6" spans="1:7">
      <c r="D6" s="1" t="s">
        <v>26</v>
      </c>
      <c r="E6" s="9">
        <f>AVERAGE(E3:E5)</f>
        <v>72.067618510464285</v>
      </c>
    </row>
    <row r="7" spans="1:7">
      <c r="D7" s="1" t="s">
        <v>27</v>
      </c>
      <c r="E7" s="1">
        <f>STDEV(E3:E5)/SQRT(2)</f>
        <v>0.50768632160988925</v>
      </c>
    </row>
    <row r="8" spans="1:7">
      <c r="A8" s="8" t="s">
        <v>30</v>
      </c>
    </row>
    <row r="9" spans="1:7">
      <c r="A9" t="s">
        <v>23</v>
      </c>
      <c r="B9" t="s">
        <v>2</v>
      </c>
      <c r="C9" t="s">
        <v>4</v>
      </c>
      <c r="D9" t="s">
        <v>25</v>
      </c>
      <c r="E9" t="s">
        <v>35</v>
      </c>
    </row>
    <row r="10" spans="1:7">
      <c r="A10">
        <v>1</v>
      </c>
      <c r="B10">
        <v>0.90680000000000005</v>
      </c>
      <c r="C10">
        <v>22.781300000000002</v>
      </c>
      <c r="D10">
        <v>16.399999999999999</v>
      </c>
      <c r="E10">
        <f>(C10-D10)/(D10-B10)*100</f>
        <v>41.187746882503319</v>
      </c>
    </row>
    <row r="11" spans="1:7">
      <c r="A11">
        <v>2</v>
      </c>
      <c r="B11">
        <v>0.89059999999999995</v>
      </c>
      <c r="C11">
        <v>16.691500000000001</v>
      </c>
      <c r="D11">
        <v>12.1</v>
      </c>
      <c r="E11">
        <f>(C11-D11)/(D11-B11)*100</f>
        <v>40.961157599871548</v>
      </c>
    </row>
    <row r="12" spans="1:7">
      <c r="A12">
        <v>3</v>
      </c>
      <c r="B12">
        <v>0.89249999999999996</v>
      </c>
      <c r="C12">
        <v>25.235600000000002</v>
      </c>
      <c r="D12">
        <v>18.260000000000002</v>
      </c>
      <c r="E12">
        <f>(C12-D12)/(D12-B12)*100</f>
        <v>40.164675399452996</v>
      </c>
    </row>
    <row r="13" spans="1:7">
      <c r="D13" s="1" t="s">
        <v>26</v>
      </c>
      <c r="E13" s="9">
        <f>AVERAGE(E10:E12)</f>
        <v>40.771193293942616</v>
      </c>
    </row>
    <row r="14" spans="1:7">
      <c r="A14" s="1"/>
      <c r="D14" s="1" t="s">
        <v>28</v>
      </c>
      <c r="E14" s="6">
        <f>STDEV(E10:E12)/SQRT(2)</f>
        <v>0.37995634157294378</v>
      </c>
    </row>
    <row r="15" spans="1:7">
      <c r="A15" s="8" t="s">
        <v>5</v>
      </c>
    </row>
    <row r="16" spans="1:7">
      <c r="A16" t="s">
        <v>23</v>
      </c>
      <c r="B16" s="5" t="s">
        <v>6</v>
      </c>
      <c r="C16" s="5" t="s">
        <v>8</v>
      </c>
      <c r="D16" s="5" t="s">
        <v>22</v>
      </c>
      <c r="E16" s="5" t="s">
        <v>7</v>
      </c>
      <c r="F16" s="5" t="s">
        <v>9</v>
      </c>
      <c r="G16" s="5" t="s">
        <v>0</v>
      </c>
    </row>
    <row r="17" spans="1:10">
      <c r="A17" s="1" t="s">
        <v>36</v>
      </c>
      <c r="B17">
        <v>147</v>
      </c>
      <c r="C17">
        <v>0.88700000000000001</v>
      </c>
      <c r="D17">
        <v>11.34</v>
      </c>
      <c r="E17">
        <v>6.89</v>
      </c>
      <c r="F17">
        <f>E17-C17</f>
        <v>6.0030000000000001</v>
      </c>
      <c r="G17">
        <f>((D17-E17)/(E17-C17))*100</f>
        <v>74.12960186573379</v>
      </c>
    </row>
    <row r="18" spans="1:10">
      <c r="A18" t="s">
        <v>37</v>
      </c>
      <c r="B18">
        <v>165</v>
      </c>
    </row>
    <row r="19" spans="1:10">
      <c r="A19" t="s">
        <v>38</v>
      </c>
      <c r="B19">
        <v>165</v>
      </c>
    </row>
    <row r="20" spans="1:10">
      <c r="A20" t="s">
        <v>39</v>
      </c>
      <c r="B20">
        <v>159</v>
      </c>
    </row>
    <row r="21" spans="1:10">
      <c r="B21" s="9">
        <f>AVERAGE(B17:B20)</f>
        <v>159</v>
      </c>
    </row>
    <row r="22" spans="1:10">
      <c r="A22" s="1" t="s">
        <v>40</v>
      </c>
      <c r="B22">
        <v>221</v>
      </c>
      <c r="C22">
        <v>0.88449999999999995</v>
      </c>
      <c r="D22">
        <v>14.06</v>
      </c>
      <c r="E22">
        <v>8.2899999999999991</v>
      </c>
      <c r="F22">
        <f>E22-C22</f>
        <v>7.4054999999999991</v>
      </c>
      <c r="G22">
        <f>(D22-E22)/(E22-C22)*100</f>
        <v>77.915063128755676</v>
      </c>
    </row>
    <row r="23" spans="1:10">
      <c r="A23" t="s">
        <v>41</v>
      </c>
      <c r="B23">
        <v>222</v>
      </c>
    </row>
    <row r="24" spans="1:10">
      <c r="A24" t="s">
        <v>42</v>
      </c>
      <c r="B24">
        <v>221</v>
      </c>
    </row>
    <row r="25" spans="1:10">
      <c r="B25" s="9">
        <f>AVERAGE(B22:B24)</f>
        <v>221.33333333333334</v>
      </c>
    </row>
    <row r="26" spans="1:10">
      <c r="A26" s="1" t="s">
        <v>43</v>
      </c>
      <c r="B26">
        <v>230</v>
      </c>
      <c r="C26">
        <v>0.89200000000000002</v>
      </c>
      <c r="D26">
        <v>10.8</v>
      </c>
      <c r="E26">
        <v>6.45</v>
      </c>
      <c r="F26">
        <f>E26-C26</f>
        <v>5.5579999999999998</v>
      </c>
      <c r="G26">
        <f>(D26-E26)/(E26-C26)*100</f>
        <v>78.265563152213034</v>
      </c>
    </row>
    <row r="27" spans="1:10">
      <c r="A27" t="s">
        <v>44</v>
      </c>
      <c r="B27">
        <v>236</v>
      </c>
      <c r="J27" s="3"/>
    </row>
    <row r="28" spans="1:10">
      <c r="A28" t="s">
        <v>45</v>
      </c>
      <c r="B28">
        <v>236</v>
      </c>
    </row>
    <row r="29" spans="1:10">
      <c r="B29" s="9">
        <f>AVERAGE(B26:B28)</f>
        <v>234</v>
      </c>
    </row>
    <row r="30" spans="1:10">
      <c r="A30" s="1" t="s">
        <v>46</v>
      </c>
      <c r="B30">
        <v>289</v>
      </c>
      <c r="C30">
        <v>0.88600000000000001</v>
      </c>
      <c r="D30">
        <v>10.73</v>
      </c>
      <c r="E30">
        <v>6.3075000000000001</v>
      </c>
      <c r="F30">
        <f>E30-C30</f>
        <v>5.4215</v>
      </c>
      <c r="G30">
        <f>(D30-E30)/(E30-C30)*100</f>
        <v>81.573365304804952</v>
      </c>
    </row>
    <row r="31" spans="1:10">
      <c r="A31" t="s">
        <v>47</v>
      </c>
      <c r="B31">
        <v>282</v>
      </c>
    </row>
    <row r="32" spans="1:10">
      <c r="A32" t="s">
        <v>48</v>
      </c>
      <c r="B32">
        <v>283</v>
      </c>
    </row>
    <row r="33" spans="1:3">
      <c r="B33" s="9">
        <f>AVERAGE(B30:B32)</f>
        <v>284.66666666666669</v>
      </c>
    </row>
    <row r="35" spans="1:3">
      <c r="A35" s="1" t="s">
        <v>24</v>
      </c>
      <c r="B35" t="s">
        <v>21</v>
      </c>
      <c r="C35" s="1" t="s">
        <v>27</v>
      </c>
    </row>
    <row r="36" spans="1:3">
      <c r="A36" s="1" t="s">
        <v>29</v>
      </c>
      <c r="B36" s="10">
        <f>(0.0588*(20))+64.747</f>
        <v>65.923000000000002</v>
      </c>
      <c r="C36" s="10"/>
    </row>
    <row r="37" spans="1:3">
      <c r="A37" s="1" t="s">
        <v>30</v>
      </c>
      <c r="B37" s="10">
        <v>40.771193293942602</v>
      </c>
      <c r="C37" s="10">
        <v>0.37995634157294378</v>
      </c>
    </row>
    <row r="38" spans="1:3">
      <c r="A38" s="1" t="s">
        <v>31</v>
      </c>
      <c r="B38" s="10">
        <f>B36-B37</f>
        <v>25.1518067060574</v>
      </c>
      <c r="C38" s="10"/>
    </row>
    <row r="39" spans="1:3">
      <c r="A39" s="1" t="s">
        <v>32</v>
      </c>
      <c r="B39" s="10">
        <f>E6/B38</f>
        <v>2.8653058347934897</v>
      </c>
      <c r="C39" s="10"/>
    </row>
    <row r="40" spans="1:3">
      <c r="A40" s="1" t="s">
        <v>33</v>
      </c>
      <c r="B40" s="10">
        <f>B38/62.6</f>
        <v>0.40178604961753034</v>
      </c>
      <c r="C40" s="10"/>
    </row>
    <row r="41" spans="1:3">
      <c r="A41" s="1" t="s">
        <v>49</v>
      </c>
      <c r="B41" s="10">
        <f>AVERAGE(B38:B40)</f>
        <v>9.4729661968228065</v>
      </c>
      <c r="C41" s="11">
        <v>0.50768632160988925</v>
      </c>
    </row>
    <row r="48" spans="1:3">
      <c r="B48" s="1"/>
    </row>
    <row r="50" spans="1:1">
      <c r="A50" s="1"/>
    </row>
    <row r="51" spans="1:1">
      <c r="A51" s="1"/>
    </row>
  </sheetData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21" zoomScale="70" zoomScaleNormal="70" workbookViewId="0">
      <selection activeCell="C46" sqref="C46"/>
    </sheetView>
  </sheetViews>
  <sheetFormatPr defaultRowHeight="14.5"/>
  <cols>
    <col min="1" max="1" width="12.81640625" customWidth="1"/>
    <col min="2" max="2" width="18.7265625" customWidth="1"/>
    <col min="3" max="3" width="20" customWidth="1"/>
    <col min="4" max="4" width="18.54296875" customWidth="1"/>
    <col min="5" max="5" width="19.81640625" customWidth="1"/>
    <col min="6" max="6" width="20.54296875" customWidth="1"/>
    <col min="7" max="7" width="18.7265625" customWidth="1"/>
    <col min="8" max="8" width="23" customWidth="1"/>
    <col min="9" max="9" width="24.7265625" customWidth="1"/>
    <col min="10" max="10" width="27.1796875" customWidth="1"/>
    <col min="11" max="11" width="21" customWidth="1"/>
    <col min="12" max="12" width="13.26953125" customWidth="1"/>
    <col min="13" max="13" width="21.453125" customWidth="1"/>
    <col min="14" max="14" width="13.26953125" customWidth="1"/>
    <col min="15" max="15" width="22.453125" customWidth="1"/>
    <col min="16" max="16" width="13.26953125" customWidth="1"/>
  </cols>
  <sheetData>
    <row r="1" spans="1:16">
      <c r="A1" s="12"/>
      <c r="B1" s="12"/>
      <c r="C1" s="12"/>
      <c r="D1" s="13"/>
      <c r="E1" s="13"/>
      <c r="F1" s="13"/>
      <c r="G1" s="13"/>
      <c r="H1" s="13"/>
      <c r="I1" s="13"/>
      <c r="J1" s="14"/>
      <c r="K1" s="14"/>
      <c r="L1" s="15"/>
      <c r="M1" s="16"/>
      <c r="N1" s="17"/>
    </row>
    <row r="2" spans="1:16" ht="20">
      <c r="A2" s="18" t="s">
        <v>50</v>
      </c>
      <c r="B2" s="12"/>
      <c r="C2" s="12"/>
      <c r="D2" s="13"/>
      <c r="E2" s="13"/>
      <c r="F2" s="13"/>
      <c r="G2" s="13"/>
      <c r="H2" s="13"/>
      <c r="I2" s="13"/>
      <c r="J2" s="14"/>
      <c r="K2" s="14"/>
      <c r="L2" s="15"/>
      <c r="M2" s="16"/>
      <c r="N2" s="17"/>
    </row>
    <row r="3" spans="1:16" ht="20">
      <c r="A3" s="18"/>
      <c r="B3" s="18"/>
      <c r="C3" s="18"/>
      <c r="D3" s="19"/>
      <c r="E3" s="19"/>
      <c r="F3" s="19"/>
      <c r="G3" s="19"/>
      <c r="H3" s="19"/>
      <c r="I3" s="19"/>
      <c r="J3" s="20"/>
      <c r="K3" s="20"/>
      <c r="L3" s="21"/>
      <c r="M3" s="22"/>
      <c r="N3" s="23"/>
      <c r="O3" s="24"/>
      <c r="P3" s="24"/>
    </row>
    <row r="4" spans="1:16" ht="15" thickBot="1">
      <c r="A4" s="12"/>
      <c r="B4" s="12"/>
      <c r="C4" s="12"/>
      <c r="D4" s="13"/>
      <c r="E4" s="13"/>
      <c r="F4" s="13"/>
      <c r="G4" s="13"/>
      <c r="H4" s="13"/>
      <c r="I4" s="13"/>
      <c r="J4" s="14"/>
      <c r="K4" s="25"/>
      <c r="L4" s="26"/>
      <c r="M4" s="27"/>
      <c r="N4" s="17"/>
    </row>
    <row r="5" spans="1:16" ht="15" thickBot="1">
      <c r="A5" s="28" t="s">
        <v>51</v>
      </c>
      <c r="B5" s="29" t="s">
        <v>52</v>
      </c>
      <c r="C5" s="29"/>
      <c r="D5" s="30" t="s">
        <v>53</v>
      </c>
      <c r="E5" s="29" t="s">
        <v>54</v>
      </c>
      <c r="F5" s="29"/>
      <c r="G5" s="29"/>
      <c r="H5" s="31"/>
      <c r="I5" s="14"/>
      <c r="J5" s="32"/>
      <c r="K5" s="32"/>
      <c r="L5" s="32"/>
      <c r="M5" s="32"/>
    </row>
    <row r="6" spans="1:16">
      <c r="A6" s="33" t="s">
        <v>55</v>
      </c>
      <c r="B6" s="34"/>
      <c r="C6" s="13"/>
      <c r="D6" s="87" t="s">
        <v>56</v>
      </c>
      <c r="E6" s="87"/>
      <c r="F6" s="35"/>
      <c r="G6" s="35"/>
      <c r="H6" s="36"/>
      <c r="I6" s="14"/>
      <c r="J6" s="32"/>
      <c r="K6" s="32"/>
      <c r="L6" s="32"/>
      <c r="M6" s="32"/>
    </row>
    <row r="7" spans="1:16" ht="15" thickBot="1">
      <c r="A7" s="37" t="s">
        <v>57</v>
      </c>
      <c r="B7" s="38" t="s">
        <v>82</v>
      </c>
      <c r="C7" s="39"/>
      <c r="D7" s="40"/>
      <c r="E7" s="41" t="s">
        <v>58</v>
      </c>
      <c r="F7" s="42"/>
      <c r="G7" s="42"/>
      <c r="H7" s="43"/>
    </row>
    <row r="8" spans="1:16" ht="15" thickBot="1">
      <c r="A8" s="13"/>
      <c r="B8" s="13"/>
      <c r="C8" s="13"/>
      <c r="D8" s="13"/>
      <c r="E8" s="13"/>
      <c r="F8" s="13"/>
      <c r="G8" s="13"/>
      <c r="H8" s="13"/>
    </row>
    <row r="9" spans="1:16">
      <c r="A9" s="44" t="s">
        <v>59</v>
      </c>
      <c r="B9" s="45"/>
      <c r="C9" s="45"/>
      <c r="D9" s="45"/>
      <c r="E9" s="45"/>
      <c r="F9" s="45"/>
      <c r="G9" s="45"/>
      <c r="H9" s="46"/>
      <c r="I9" s="12"/>
      <c r="J9" s="12"/>
      <c r="K9" s="12"/>
      <c r="L9" s="12"/>
      <c r="M9" s="12"/>
      <c r="N9" s="12"/>
      <c r="O9" s="12"/>
      <c r="P9" s="12"/>
    </row>
    <row r="10" spans="1:16" ht="15" thickBot="1">
      <c r="A10" s="47"/>
      <c r="B10" s="48"/>
      <c r="C10" s="49">
        <v>1</v>
      </c>
      <c r="D10" s="49">
        <v>2</v>
      </c>
      <c r="E10" s="49">
        <v>3</v>
      </c>
      <c r="F10" s="49">
        <v>4</v>
      </c>
      <c r="G10" s="49">
        <v>5</v>
      </c>
      <c r="H10" s="50">
        <v>6</v>
      </c>
      <c r="I10" s="12"/>
      <c r="J10" s="12"/>
      <c r="K10" s="51" t="s">
        <v>60</v>
      </c>
      <c r="L10" s="52"/>
      <c r="M10" s="51" t="s">
        <v>61</v>
      </c>
      <c r="N10" s="52"/>
      <c r="O10" s="51" t="s">
        <v>62</v>
      </c>
      <c r="P10" s="52"/>
    </row>
    <row r="11" spans="1:16">
      <c r="A11" s="53" t="s">
        <v>63</v>
      </c>
      <c r="B11" s="27"/>
      <c r="C11" s="54">
        <v>101.3</v>
      </c>
      <c r="D11" s="54">
        <v>105</v>
      </c>
      <c r="E11" s="54">
        <v>104.3</v>
      </c>
      <c r="F11" s="54"/>
      <c r="G11" s="54"/>
      <c r="H11" s="55"/>
      <c r="I11" s="12"/>
      <c r="J11" s="12"/>
      <c r="K11" s="51" t="s">
        <v>64</v>
      </c>
      <c r="L11" s="51" t="s">
        <v>65</v>
      </c>
      <c r="M11" s="51" t="s">
        <v>64</v>
      </c>
      <c r="N11" s="51" t="s">
        <v>65</v>
      </c>
      <c r="O11" s="51" t="s">
        <v>64</v>
      </c>
      <c r="P11" s="51" t="s">
        <v>65</v>
      </c>
    </row>
    <row r="12" spans="1:16" ht="15" thickBot="1">
      <c r="A12" s="56" t="s">
        <v>66</v>
      </c>
      <c r="B12" s="27"/>
      <c r="C12" s="57">
        <v>61</v>
      </c>
      <c r="D12" s="57">
        <v>62.5</v>
      </c>
      <c r="E12" s="57">
        <v>60</v>
      </c>
      <c r="F12" s="57"/>
      <c r="G12" s="57"/>
      <c r="H12" s="58"/>
      <c r="I12" s="12"/>
      <c r="J12" s="12"/>
      <c r="K12" s="59">
        <v>60.55</v>
      </c>
      <c r="L12" s="59">
        <v>25.15</v>
      </c>
      <c r="M12" s="59">
        <v>60.4</v>
      </c>
      <c r="N12" s="59">
        <v>20.9</v>
      </c>
      <c r="O12" s="59">
        <v>60</v>
      </c>
      <c r="P12" s="59">
        <v>21.2</v>
      </c>
    </row>
    <row r="13" spans="1:16" ht="15" thickBot="1">
      <c r="A13" s="60" t="s">
        <v>67</v>
      </c>
      <c r="B13" s="61"/>
      <c r="C13" s="62">
        <f t="shared" ref="C13:H13" si="0">(PI()*(((C12*0.001)/2)^2))*(C11*0.001)</f>
        <v>2.9604586313599295E-4</v>
      </c>
      <c r="D13" s="63">
        <f t="shared" si="0"/>
        <v>3.2213596545598461E-4</v>
      </c>
      <c r="E13" s="64">
        <f t="shared" si="0"/>
        <v>2.9490130239247388E-4</v>
      </c>
      <c r="F13" s="62">
        <f t="shared" si="0"/>
        <v>0</v>
      </c>
      <c r="G13" s="63">
        <f t="shared" si="0"/>
        <v>0</v>
      </c>
      <c r="H13" s="65">
        <f t="shared" si="0"/>
        <v>0</v>
      </c>
      <c r="I13" s="12"/>
      <c r="J13" s="12"/>
      <c r="K13" s="59">
        <v>60.3</v>
      </c>
      <c r="L13" s="59">
        <v>25.25</v>
      </c>
      <c r="M13" s="59">
        <v>60.25</v>
      </c>
      <c r="N13" s="59">
        <v>20.75</v>
      </c>
      <c r="O13" s="59">
        <v>60.28</v>
      </c>
      <c r="P13" s="59">
        <v>21.16</v>
      </c>
    </row>
    <row r="14" spans="1:16">
      <c r="A14" s="56" t="s">
        <v>68</v>
      </c>
      <c r="B14" s="27"/>
      <c r="C14" s="54"/>
      <c r="D14" s="54"/>
      <c r="E14" s="54"/>
      <c r="F14" s="54"/>
      <c r="G14" s="54"/>
      <c r="H14" s="55"/>
      <c r="I14" s="12"/>
      <c r="J14" s="12"/>
      <c r="K14" s="59">
        <v>60.3</v>
      </c>
      <c r="L14" s="59">
        <v>25.32</v>
      </c>
      <c r="M14" s="59">
        <v>60.4</v>
      </c>
      <c r="N14" s="59">
        <v>20.65</v>
      </c>
      <c r="O14" s="59">
        <v>60.4</v>
      </c>
      <c r="P14" s="59">
        <v>21.35</v>
      </c>
    </row>
    <row r="15" spans="1:16" ht="15" thickBot="1">
      <c r="A15" s="56" t="s">
        <v>69</v>
      </c>
      <c r="B15" s="27"/>
      <c r="C15" s="57"/>
      <c r="D15" s="57"/>
      <c r="E15" s="57"/>
      <c r="F15" s="57"/>
      <c r="G15" s="57"/>
      <c r="H15" s="58"/>
      <c r="I15" s="12"/>
      <c r="J15" s="66" t="s">
        <v>70</v>
      </c>
      <c r="K15" s="67">
        <f t="shared" ref="K15:P15" si="1">AVERAGE(K12:K14)</f>
        <v>60.383333333333326</v>
      </c>
      <c r="L15" s="67">
        <f t="shared" si="1"/>
        <v>25.24</v>
      </c>
      <c r="M15" s="67">
        <f t="shared" si="1"/>
        <v>60.35</v>
      </c>
      <c r="N15" s="67">
        <f t="shared" si="1"/>
        <v>20.766666666666666</v>
      </c>
      <c r="O15" s="67">
        <f t="shared" si="1"/>
        <v>60.226666666666667</v>
      </c>
      <c r="P15" s="67">
        <f t="shared" si="1"/>
        <v>21.236666666666668</v>
      </c>
    </row>
    <row r="16" spans="1:16" ht="15" thickBot="1">
      <c r="A16" s="60" t="s">
        <v>71</v>
      </c>
      <c r="B16" s="68"/>
      <c r="C16" s="64">
        <f t="shared" ref="C16:H16" si="2">(C14-C15)*0.001</f>
        <v>0</v>
      </c>
      <c r="D16" s="62">
        <f t="shared" si="2"/>
        <v>0</v>
      </c>
      <c r="E16" s="64">
        <f t="shared" si="2"/>
        <v>0</v>
      </c>
      <c r="F16" s="64">
        <f t="shared" si="2"/>
        <v>0</v>
      </c>
      <c r="G16" s="62">
        <f t="shared" si="2"/>
        <v>0</v>
      </c>
      <c r="H16" s="65">
        <f t="shared" si="2"/>
        <v>0</v>
      </c>
      <c r="I16" s="12"/>
      <c r="J16" s="12"/>
      <c r="K16" s="12"/>
      <c r="L16" s="12"/>
      <c r="M16" s="12"/>
      <c r="N16" s="12"/>
      <c r="O16" s="12"/>
      <c r="P16" s="12"/>
    </row>
    <row r="17" spans="1:16" ht="15" thickBot="1">
      <c r="A17" s="56" t="s">
        <v>72</v>
      </c>
      <c r="B17" s="27"/>
      <c r="C17" s="69"/>
      <c r="D17" s="69"/>
      <c r="E17" s="69"/>
      <c r="F17" s="70"/>
      <c r="G17" s="70"/>
      <c r="H17" s="71"/>
      <c r="I17" s="12"/>
      <c r="J17" s="12"/>
      <c r="K17" s="12"/>
      <c r="L17" s="12"/>
      <c r="M17" s="12"/>
      <c r="N17" s="12"/>
      <c r="O17" s="12"/>
      <c r="P17" s="12"/>
    </row>
    <row r="18" spans="1:16">
      <c r="A18" s="72" t="s">
        <v>73</v>
      </c>
      <c r="B18" s="73"/>
      <c r="C18" s="74">
        <f t="shared" ref="C18:H18" si="3">C13-(C17*0.000001)</f>
        <v>2.9604586313599295E-4</v>
      </c>
      <c r="D18" s="74">
        <f t="shared" si="3"/>
        <v>3.2213596545598461E-4</v>
      </c>
      <c r="E18" s="74">
        <f t="shared" si="3"/>
        <v>2.9490130239247388E-4</v>
      </c>
      <c r="F18" s="74">
        <f t="shared" si="3"/>
        <v>0</v>
      </c>
      <c r="G18" s="74">
        <f t="shared" si="3"/>
        <v>0</v>
      </c>
      <c r="H18" s="75">
        <f t="shared" si="3"/>
        <v>0</v>
      </c>
      <c r="I18" s="12"/>
      <c r="J18" s="12"/>
      <c r="K18" s="12"/>
      <c r="L18" s="12"/>
      <c r="M18" s="12"/>
      <c r="N18" s="12"/>
      <c r="O18" s="12"/>
      <c r="P18" s="12"/>
    </row>
    <row r="19" spans="1:16" ht="15" thickBot="1">
      <c r="A19" s="76" t="s">
        <v>74</v>
      </c>
      <c r="B19" s="77"/>
      <c r="C19" s="78">
        <f t="shared" ref="C19:H19" si="4">C16/C18</f>
        <v>0</v>
      </c>
      <c r="D19" s="78">
        <f t="shared" si="4"/>
        <v>0</v>
      </c>
      <c r="E19" s="78">
        <f t="shared" si="4"/>
        <v>0</v>
      </c>
      <c r="F19" s="78" t="e">
        <f t="shared" si="4"/>
        <v>#DIV/0!</v>
      </c>
      <c r="G19" s="78" t="e">
        <f t="shared" si="4"/>
        <v>#DIV/0!</v>
      </c>
      <c r="H19" s="79" t="e">
        <f t="shared" si="4"/>
        <v>#DIV/0!</v>
      </c>
      <c r="I19" s="12"/>
      <c r="J19" s="12"/>
      <c r="K19" s="12"/>
      <c r="L19" s="12"/>
      <c r="M19" s="12"/>
      <c r="N19" s="12"/>
      <c r="O19" s="12"/>
      <c r="P19" s="12"/>
    </row>
    <row r="20" spans="1:16">
      <c r="A20" s="80" t="s">
        <v>75</v>
      </c>
      <c r="B20" s="80"/>
      <c r="C20" s="80">
        <f>(100*C34)/(100+72.44)</f>
        <v>797.68383047582779</v>
      </c>
      <c r="D20" s="80">
        <f t="shared" ref="D20:E20" si="5">(100*D34)/(100+72.44)</f>
        <v>723.51996571325753</v>
      </c>
      <c r="E20" s="80">
        <f t="shared" si="5"/>
        <v>769.44946839906402</v>
      </c>
      <c r="F20" s="80"/>
      <c r="G20" s="80"/>
      <c r="H20" s="80"/>
      <c r="J20" s="81"/>
      <c r="K20" s="10"/>
    </row>
    <row r="21" spans="1:16">
      <c r="A21" s="82" t="s">
        <v>76</v>
      </c>
      <c r="B21" s="13"/>
      <c r="C21" s="13">
        <f>AVERAGE(C20:E20)</f>
        <v>763.55108819604982</v>
      </c>
      <c r="D21" s="13"/>
      <c r="E21" s="13"/>
      <c r="F21" s="13"/>
      <c r="G21" s="13"/>
      <c r="H21" s="13"/>
      <c r="J21" s="81"/>
    </row>
    <row r="22" spans="1:16">
      <c r="A22" s="82" t="s">
        <v>20</v>
      </c>
      <c r="B22" s="13"/>
      <c r="C22" s="13">
        <f>STDEV(C20:E20)/SQRT(2)</f>
        <v>26.468498974202191</v>
      </c>
      <c r="D22" s="13"/>
      <c r="E22" s="13"/>
      <c r="F22" s="13"/>
      <c r="G22" s="13"/>
      <c r="H22" s="13"/>
    </row>
    <row r="23" spans="1:16" ht="15" thickBot="1">
      <c r="A23" s="13"/>
      <c r="B23" s="13"/>
      <c r="C23" s="13"/>
      <c r="D23" s="13"/>
      <c r="E23" s="13"/>
      <c r="F23" s="13"/>
      <c r="G23" s="13"/>
      <c r="H23" s="13"/>
    </row>
    <row r="24" spans="1:16">
      <c r="A24" s="44" t="s">
        <v>77</v>
      </c>
      <c r="B24" s="45"/>
      <c r="C24" s="45"/>
      <c r="D24" s="45"/>
      <c r="E24" s="45"/>
      <c r="F24" s="45"/>
      <c r="G24" s="45"/>
      <c r="H24" s="46"/>
    </row>
    <row r="25" spans="1:16" ht="15" thickBot="1">
      <c r="A25" s="47"/>
      <c r="B25" s="48"/>
      <c r="C25" s="49">
        <v>1</v>
      </c>
      <c r="D25" s="49">
        <v>2</v>
      </c>
      <c r="E25" s="49">
        <v>3</v>
      </c>
      <c r="F25" s="49">
        <v>4</v>
      </c>
      <c r="G25" s="49">
        <v>5</v>
      </c>
      <c r="H25" s="50">
        <v>6</v>
      </c>
    </row>
    <row r="26" spans="1:16">
      <c r="A26" s="53" t="s">
        <v>63</v>
      </c>
      <c r="B26" s="27"/>
      <c r="C26" s="54">
        <v>101.3</v>
      </c>
      <c r="D26" s="54">
        <v>105</v>
      </c>
      <c r="E26" s="54">
        <v>104.3</v>
      </c>
      <c r="F26" s="54"/>
      <c r="G26" s="54"/>
      <c r="H26" s="55"/>
    </row>
    <row r="27" spans="1:16" ht="15" thickBot="1">
      <c r="A27" s="56" t="s">
        <v>66</v>
      </c>
      <c r="B27" s="27"/>
      <c r="C27" s="57">
        <v>61</v>
      </c>
      <c r="D27" s="57">
        <v>62.5</v>
      </c>
      <c r="E27" s="57">
        <v>60</v>
      </c>
      <c r="F27" s="57"/>
      <c r="G27" s="57"/>
      <c r="H27" s="58"/>
      <c r="I27" s="83"/>
      <c r="J27" s="32"/>
      <c r="K27" s="32"/>
      <c r="L27" s="32"/>
      <c r="M27" s="32"/>
    </row>
    <row r="28" spans="1:16" ht="15" thickBot="1">
      <c r="A28" s="60" t="s">
        <v>67</v>
      </c>
      <c r="B28" s="61"/>
      <c r="C28" s="62">
        <f t="shared" ref="C28:H28" si="6">(PI()*(((C27*0.001)/2)^2))*(C26*0.001)</f>
        <v>2.9604586313599295E-4</v>
      </c>
      <c r="D28" s="63">
        <f t="shared" si="6"/>
        <v>3.2213596545598461E-4</v>
      </c>
      <c r="E28" s="64">
        <f t="shared" si="6"/>
        <v>2.9490130239247388E-4</v>
      </c>
      <c r="F28" s="62">
        <f t="shared" si="6"/>
        <v>0</v>
      </c>
      <c r="G28" s="63">
        <f t="shared" si="6"/>
        <v>0</v>
      </c>
      <c r="H28" s="65">
        <f t="shared" si="6"/>
        <v>0</v>
      </c>
      <c r="I28" s="83"/>
      <c r="J28" s="32"/>
      <c r="K28" s="32"/>
      <c r="L28" s="32"/>
      <c r="M28" s="32"/>
    </row>
    <row r="29" spans="1:16">
      <c r="A29" s="56" t="s">
        <v>78</v>
      </c>
      <c r="B29" s="27"/>
      <c r="C29" s="54">
        <v>612.12</v>
      </c>
      <c r="D29" s="54">
        <v>610.34</v>
      </c>
      <c r="E29" s="54">
        <v>582.66999999999996</v>
      </c>
      <c r="F29" s="54"/>
      <c r="G29" s="54"/>
      <c r="H29" s="55"/>
      <c r="I29" s="83"/>
      <c r="J29" s="32"/>
      <c r="K29" s="32"/>
      <c r="L29" s="32"/>
      <c r="M29" s="32"/>
    </row>
    <row r="30" spans="1:16" ht="15" thickBot="1">
      <c r="A30" s="56" t="s">
        <v>79</v>
      </c>
      <c r="B30" s="27"/>
      <c r="C30" s="57">
        <v>240.94</v>
      </c>
      <c r="D30" s="57">
        <v>238</v>
      </c>
      <c r="E30" s="57">
        <v>241.14</v>
      </c>
      <c r="F30" s="57"/>
      <c r="G30" s="57"/>
      <c r="H30" s="58"/>
      <c r="I30" s="83"/>
      <c r="J30" s="32"/>
      <c r="K30" s="32"/>
      <c r="L30" s="32"/>
      <c r="M30" s="32"/>
    </row>
    <row r="31" spans="1:16" ht="15" thickBot="1">
      <c r="A31" s="60" t="s">
        <v>71</v>
      </c>
      <c r="B31" s="68"/>
      <c r="C31" s="64">
        <f t="shared" ref="C31:H31" si="7">(C29-C30)*0.001</f>
        <v>0.37118000000000001</v>
      </c>
      <c r="D31" s="62">
        <f t="shared" si="7"/>
        <v>0.37234000000000006</v>
      </c>
      <c r="E31" s="64">
        <f t="shared" si="7"/>
        <v>0.34153</v>
      </c>
      <c r="F31" s="64">
        <f t="shared" si="7"/>
        <v>0</v>
      </c>
      <c r="G31" s="62">
        <f t="shared" si="7"/>
        <v>0</v>
      </c>
      <c r="H31" s="65">
        <f t="shared" si="7"/>
        <v>0</v>
      </c>
      <c r="I31" s="83"/>
      <c r="J31" s="32"/>
      <c r="K31" s="32"/>
      <c r="L31" s="32"/>
      <c r="M31" s="32"/>
    </row>
    <row r="32" spans="1:16" ht="15" thickBot="1">
      <c r="A32" s="56" t="s">
        <v>72</v>
      </c>
      <c r="B32" s="27"/>
      <c r="C32" s="69">
        <v>26.2</v>
      </c>
      <c r="D32" s="69">
        <v>23.7</v>
      </c>
      <c r="E32" s="69">
        <v>37.5</v>
      </c>
      <c r="F32" s="70"/>
      <c r="G32" s="70"/>
      <c r="H32" s="71"/>
      <c r="I32" s="83"/>
      <c r="J32" s="32"/>
      <c r="K32" s="32"/>
      <c r="L32" s="32"/>
      <c r="M32" s="32"/>
    </row>
    <row r="33" spans="1:13">
      <c r="A33" s="72" t="s">
        <v>73</v>
      </c>
      <c r="B33" s="73"/>
      <c r="C33" s="74">
        <f t="shared" ref="C33:H33" si="8">C28-(C32*0.000001)</f>
        <v>2.6984586313599297E-4</v>
      </c>
      <c r="D33" s="74">
        <f t="shared" si="8"/>
        <v>2.9843596545598463E-4</v>
      </c>
      <c r="E33" s="74">
        <f t="shared" si="8"/>
        <v>2.5740130239247389E-4</v>
      </c>
      <c r="F33" s="74">
        <f t="shared" si="8"/>
        <v>0</v>
      </c>
      <c r="G33" s="74">
        <f t="shared" si="8"/>
        <v>0</v>
      </c>
      <c r="H33" s="75">
        <f t="shared" si="8"/>
        <v>0</v>
      </c>
      <c r="I33" s="83"/>
      <c r="J33" s="32"/>
      <c r="K33" s="32"/>
      <c r="L33" s="32"/>
      <c r="M33" s="32"/>
    </row>
    <row r="34" spans="1:13" ht="15" thickBot="1">
      <c r="A34" s="76" t="s">
        <v>80</v>
      </c>
      <c r="B34" s="77"/>
      <c r="C34" s="78">
        <f t="shared" ref="C34:H34" si="9">C31/C33</f>
        <v>1375.5259972725175</v>
      </c>
      <c r="D34" s="78">
        <f t="shared" si="9"/>
        <v>1247.6378288759413</v>
      </c>
      <c r="E34" s="78">
        <f t="shared" si="9"/>
        <v>1326.838663307346</v>
      </c>
      <c r="F34" s="78" t="e">
        <f t="shared" si="9"/>
        <v>#DIV/0!</v>
      </c>
      <c r="G34" s="78" t="e">
        <f t="shared" si="9"/>
        <v>#DIV/0!</v>
      </c>
      <c r="H34" s="79" t="e">
        <f t="shared" si="9"/>
        <v>#DIV/0!</v>
      </c>
      <c r="I34" s="83"/>
      <c r="J34" s="32"/>
      <c r="K34" s="32"/>
      <c r="L34" s="32"/>
      <c r="M34" s="32"/>
    </row>
    <row r="35" spans="1:13">
      <c r="A35" s="13"/>
      <c r="B35" s="13"/>
      <c r="C35" s="13"/>
      <c r="D35" s="13"/>
      <c r="E35" s="13"/>
      <c r="F35" s="13"/>
      <c r="G35" s="13"/>
      <c r="H35" s="13"/>
      <c r="I35" s="83"/>
      <c r="J35" s="32"/>
      <c r="K35" s="32"/>
      <c r="L35" s="32"/>
      <c r="M35" s="32"/>
    </row>
    <row r="36" spans="1:13">
      <c r="A36" s="82" t="s">
        <v>81</v>
      </c>
      <c r="B36" s="13"/>
      <c r="C36" s="13">
        <f>AVERAGE(C34:E34)</f>
        <v>1316.6674964852682</v>
      </c>
      <c r="D36" s="13"/>
      <c r="E36" s="13"/>
      <c r="F36" s="13"/>
      <c r="G36" s="13"/>
      <c r="H36" s="13"/>
      <c r="I36" s="83"/>
      <c r="J36" s="32"/>
      <c r="K36" s="32"/>
      <c r="L36" s="32"/>
      <c r="M36" s="32"/>
    </row>
    <row r="37" spans="1:13">
      <c r="A37" s="82" t="s">
        <v>20</v>
      </c>
      <c r="B37" s="13"/>
      <c r="C37" s="13">
        <f>STDEV(C34:E34)/SQRT(2)</f>
        <v>45.642279631114292</v>
      </c>
      <c r="D37" s="13"/>
      <c r="E37" s="13"/>
      <c r="F37" s="13"/>
      <c r="G37" s="13"/>
      <c r="H37" s="13"/>
      <c r="I37" s="83"/>
      <c r="J37" s="32"/>
      <c r="K37" s="32"/>
      <c r="L37" s="32"/>
      <c r="M37" s="32"/>
    </row>
    <row r="39" spans="1:13">
      <c r="A39" t="s">
        <v>88</v>
      </c>
      <c r="B39" s="1" t="s">
        <v>84</v>
      </c>
    </row>
    <row r="40" spans="1:13">
      <c r="A40">
        <v>1</v>
      </c>
      <c r="B40">
        <f>(1-(C21/'particle density'!$G$2))*100</f>
        <v>69.741155003066226</v>
      </c>
    </row>
    <row r="41" spans="1:13">
      <c r="A41">
        <v>2</v>
      </c>
      <c r="B41">
        <f>(1-(C21/'particle density'!$G$3))*100</f>
        <v>69.779451667188042</v>
      </c>
    </row>
    <row r="42" spans="1:13">
      <c r="A42">
        <v>3</v>
      </c>
      <c r="B42">
        <f>(1-(C21/'particle density'!$G$4))*100</f>
        <v>69.474047585854763</v>
      </c>
    </row>
    <row r="43" spans="1:13">
      <c r="A43" t="s">
        <v>85</v>
      </c>
      <c r="B43">
        <f>AVERAGE(B40:B42)</f>
        <v>69.664884752036343</v>
      </c>
    </row>
    <row r="44" spans="1:13">
      <c r="A44" t="s">
        <v>86</v>
      </c>
      <c r="B44">
        <f>STDEV(B40:B42)/SQRT(2)</f>
        <v>0.11764517970974621</v>
      </c>
    </row>
    <row r="46" spans="1:13">
      <c r="A46" t="s">
        <v>88</v>
      </c>
      <c r="B46" s="1" t="s">
        <v>87</v>
      </c>
    </row>
    <row r="47" spans="1:13">
      <c r="A47">
        <v>1</v>
      </c>
      <c r="B47">
        <f>B40/(100-B40)</f>
        <v>2.3048188062080137</v>
      </c>
    </row>
    <row r="48" spans="1:13">
      <c r="A48">
        <v>2</v>
      </c>
      <c r="B48">
        <f>B41/(100-B41)</f>
        <v>2.309006802216921</v>
      </c>
    </row>
    <row r="49" spans="1:2">
      <c r="A49">
        <v>3</v>
      </c>
      <c r="B49">
        <f>B42/(100-B42)</f>
        <v>2.2759010642256521</v>
      </c>
    </row>
    <row r="50" spans="1:2">
      <c r="A50" t="s">
        <v>85</v>
      </c>
      <c r="B50">
        <f>B43/(100-B43)</f>
        <v>2.2965096450956395</v>
      </c>
    </row>
    <row r="51" spans="1:2">
      <c r="A51" t="s">
        <v>86</v>
      </c>
      <c r="B51">
        <f>STDEV(B47:B49)/SQRT(2)</f>
        <v>1.274678063890255E-2</v>
      </c>
    </row>
  </sheetData>
  <mergeCells count="1"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C1" zoomScale="85" zoomScaleNormal="85" workbookViewId="0">
      <selection activeCell="F6" sqref="F6"/>
    </sheetView>
  </sheetViews>
  <sheetFormatPr defaultRowHeight="14.5"/>
  <cols>
    <col min="1" max="2" width="28.1796875" bestFit="1" customWidth="1"/>
    <col min="3" max="3" width="27.26953125" bestFit="1" customWidth="1"/>
    <col min="4" max="4" width="32.1796875" bestFit="1" customWidth="1"/>
    <col min="5" max="5" width="26.81640625" bestFit="1" customWidth="1"/>
    <col min="6" max="7" width="23.81640625" bestFit="1" customWidth="1"/>
  </cols>
  <sheetData>
    <row r="1" spans="1:7">
      <c r="A1" t="s">
        <v>23</v>
      </c>
      <c r="B1" t="s">
        <v>11</v>
      </c>
      <c r="C1" t="s">
        <v>12</v>
      </c>
      <c r="D1" t="s">
        <v>13</v>
      </c>
      <c r="E1" t="s">
        <v>14</v>
      </c>
      <c r="F1" t="s">
        <v>18</v>
      </c>
      <c r="G1" t="s">
        <v>19</v>
      </c>
    </row>
    <row r="2" spans="1:7">
      <c r="A2">
        <v>1</v>
      </c>
      <c r="B2">
        <v>27.653099999999998</v>
      </c>
      <c r="C2">
        <v>30.3978</v>
      </c>
      <c r="D2">
        <v>78.356800000000007</v>
      </c>
      <c r="E2">
        <v>76.699799999999996</v>
      </c>
      <c r="F2" s="2">
        <f>(C2-B2)/((E2-B2)-(D2-C2))</f>
        <v>2.5233979957708987</v>
      </c>
      <c r="G2">
        <f>F2*1000</f>
        <v>2523.3979957708989</v>
      </c>
    </row>
    <row r="3" spans="1:7">
      <c r="A3">
        <v>2</v>
      </c>
      <c r="B3">
        <v>25.622</v>
      </c>
      <c r="C3">
        <v>29.279499999999999</v>
      </c>
      <c r="D3">
        <v>79.0578</v>
      </c>
      <c r="E3">
        <v>76.847899999999996</v>
      </c>
      <c r="F3" s="2">
        <f t="shared" ref="F3:F4" si="0">(C3-B3)/((E3-B3)-(D3-C3))</f>
        <v>2.5265957446808605</v>
      </c>
      <c r="G3">
        <f t="shared" ref="G3:G4" si="1">F3*1000</f>
        <v>2526.5957446808607</v>
      </c>
    </row>
    <row r="4" spans="1:7">
      <c r="A4">
        <v>3</v>
      </c>
      <c r="B4">
        <v>26.067799999999998</v>
      </c>
      <c r="C4">
        <v>28.82</v>
      </c>
      <c r="D4">
        <v>76.676100000000005</v>
      </c>
      <c r="E4">
        <v>75.024199999999993</v>
      </c>
      <c r="F4" s="2">
        <f t="shared" si="0"/>
        <v>2.5013178224120938</v>
      </c>
      <c r="G4">
        <f t="shared" si="1"/>
        <v>2501.3178224120938</v>
      </c>
    </row>
    <row r="5" spans="1:7">
      <c r="E5" s="1" t="s">
        <v>26</v>
      </c>
      <c r="F5" s="9">
        <f>AVERAGE(F2:F4)</f>
        <v>2.5171038542879511</v>
      </c>
      <c r="G5" s="9">
        <f>AVERAGE(G2:G4)</f>
        <v>2517.103854287951</v>
      </c>
    </row>
    <row r="6" spans="1:7">
      <c r="E6" s="1" t="s">
        <v>27</v>
      </c>
      <c r="F6" s="9">
        <f>STDEV(F2:F4)/SQRT(2)</f>
        <v>9.7328182278304011E-3</v>
      </c>
      <c r="G6" s="9">
        <f>STDEV(G2:G4)/SQRT(2)</f>
        <v>9.7328182278304443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18" sqref="E18"/>
    </sheetView>
  </sheetViews>
  <sheetFormatPr defaultRowHeight="14.5"/>
  <cols>
    <col min="1" max="1" width="10.7265625" bestFit="1" customWidth="1"/>
    <col min="3" max="3" width="13" customWidth="1"/>
    <col min="4" max="4" width="17.1796875" customWidth="1"/>
  </cols>
  <sheetData>
    <row r="1" spans="1:5">
      <c r="A1" s="4"/>
      <c r="B1" s="1" t="s">
        <v>89</v>
      </c>
      <c r="C1" s="1"/>
      <c r="D1" s="1"/>
    </row>
    <row r="2" spans="1:5">
      <c r="B2" t="s">
        <v>15</v>
      </c>
      <c r="C2" t="s">
        <v>16</v>
      </c>
      <c r="D2" t="s">
        <v>17</v>
      </c>
    </row>
    <row r="3" spans="1:5">
      <c r="B3">
        <v>60</v>
      </c>
      <c r="C3">
        <v>4</v>
      </c>
      <c r="D3">
        <f>B3/C3</f>
        <v>15</v>
      </c>
    </row>
    <row r="4" spans="1:5">
      <c r="B4">
        <v>60</v>
      </c>
      <c r="C4">
        <v>4</v>
      </c>
      <c r="D4">
        <f t="shared" ref="D4:D10" si="0">B4/C4</f>
        <v>15</v>
      </c>
    </row>
    <row r="5" spans="1:5">
      <c r="B5">
        <v>71</v>
      </c>
      <c r="C5">
        <v>5</v>
      </c>
      <c r="D5">
        <f t="shared" si="0"/>
        <v>14.2</v>
      </c>
    </row>
    <row r="6" spans="1:5">
      <c r="B6">
        <v>66</v>
      </c>
      <c r="C6">
        <v>5</v>
      </c>
      <c r="D6">
        <f t="shared" si="0"/>
        <v>13.2</v>
      </c>
    </row>
    <row r="7" spans="1:5">
      <c r="B7">
        <v>70</v>
      </c>
      <c r="C7">
        <v>3</v>
      </c>
      <c r="D7">
        <f>B7/C7</f>
        <v>23.333333333333332</v>
      </c>
    </row>
    <row r="8" spans="1:5">
      <c r="B8">
        <v>70</v>
      </c>
      <c r="C8">
        <v>4</v>
      </c>
      <c r="D8">
        <f t="shared" si="0"/>
        <v>17.5</v>
      </c>
    </row>
    <row r="9" spans="1:5">
      <c r="B9">
        <v>65</v>
      </c>
      <c r="C9">
        <v>5</v>
      </c>
      <c r="D9">
        <f t="shared" si="0"/>
        <v>13</v>
      </c>
    </row>
    <row r="10" spans="1:5">
      <c r="B10">
        <v>66</v>
      </c>
      <c r="C10">
        <v>8</v>
      </c>
      <c r="D10">
        <f t="shared" si="0"/>
        <v>8.25</v>
      </c>
    </row>
    <row r="11" spans="1:5">
      <c r="A11" s="9" t="s">
        <v>83</v>
      </c>
      <c r="B11" s="84">
        <f>AVERAGE(B3:B10)</f>
        <v>66</v>
      </c>
      <c r="C11" s="84">
        <f>AVERAGE(C3:C10)</f>
        <v>4.75</v>
      </c>
      <c r="D11" s="84">
        <f>AVERAGE(D3:D10)</f>
        <v>14.935416666666667</v>
      </c>
    </row>
    <row r="12" spans="1:5">
      <c r="A12" s="9" t="s">
        <v>27</v>
      </c>
      <c r="B12" s="84">
        <f>STDEV(B3:B11)/SQRT(2)</f>
        <v>2.8504385627478444</v>
      </c>
      <c r="C12" s="84">
        <f>STDEV(C3:C11)/SQRT(2)</f>
        <v>0.98425098425147628</v>
      </c>
      <c r="D12" s="84">
        <f>STDEV(D3:D11)/SQRT(2)</f>
        <v>2.8405938682440288</v>
      </c>
    </row>
    <row r="13" spans="1:5">
      <c r="A13" s="1"/>
    </row>
    <row r="14" spans="1:5">
      <c r="A14" s="85"/>
      <c r="B14" s="86"/>
      <c r="C14" s="86"/>
      <c r="D14" s="86"/>
      <c r="E14" s="1"/>
    </row>
    <row r="15" spans="1:5">
      <c r="A15" s="85"/>
      <c r="B15" s="85"/>
      <c r="C15" s="85"/>
      <c r="D15" s="85"/>
    </row>
    <row r="16" spans="1:5">
      <c r="A16" s="85"/>
      <c r="B16" s="85"/>
      <c r="C16" s="85"/>
      <c r="D16" s="85"/>
    </row>
    <row r="17" spans="1:4">
      <c r="A17" s="85"/>
      <c r="B17" s="85"/>
      <c r="C17" s="85"/>
      <c r="D17" s="85"/>
    </row>
    <row r="18" spans="1:4">
      <c r="A18" s="85"/>
      <c r="B18" s="85"/>
      <c r="C18" s="85"/>
      <c r="D18" s="85"/>
    </row>
    <row r="19" spans="1:4">
      <c r="A19" s="85"/>
      <c r="B19" s="85"/>
      <c r="C19" s="85"/>
      <c r="D19" s="85"/>
    </row>
    <row r="20" spans="1:4">
      <c r="A20" s="85"/>
      <c r="B20" s="85"/>
      <c r="C20" s="85"/>
      <c r="D20" s="8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moisture content and atterbergs</vt:lpstr>
      <vt:lpstr>bulk density</vt:lpstr>
      <vt:lpstr>particle density</vt:lpstr>
      <vt:lpstr>shear vane readings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Pip</dc:creator>
  <cp:lastModifiedBy>Philippa Mills</cp:lastModifiedBy>
  <dcterms:created xsi:type="dcterms:W3CDTF">2015-04-02T01:56:16Z</dcterms:created>
  <dcterms:modified xsi:type="dcterms:W3CDTF">2016-06-23T11:32:17Z</dcterms:modified>
</cp:coreProperties>
</file>